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otes a vapor" sheetId="1" r:id="rId1"/>
    <sheet name="Tablas de vapor" sheetId="2" r:id="rId2"/>
    <sheet name="Hélice" sheetId="3" r:id="rId3"/>
  </sheets>
  <definedNames/>
  <calcPr fullCalcOnLoad="1"/>
</workbook>
</file>

<file path=xl/sharedStrings.xml><?xml version="1.0" encoding="utf-8"?>
<sst xmlns="http://schemas.openxmlformats.org/spreadsheetml/2006/main" count="124" uniqueCount="105">
  <si>
    <t>Tamaño botes</t>
  </si>
  <si>
    <t>4.5 x 1.5m</t>
  </si>
  <si>
    <t>Pnas</t>
  </si>
  <si>
    <t>Peso con carga</t>
  </si>
  <si>
    <t>900 kg</t>
  </si>
  <si>
    <t>6 x 1.9 m</t>
  </si>
  <si>
    <t>6-8</t>
  </si>
  <si>
    <t>1600 kg</t>
  </si>
  <si>
    <t>7-8m</t>
  </si>
  <si>
    <t>8-10</t>
  </si>
  <si>
    <t>2000 kg</t>
  </si>
  <si>
    <t>Velocidad</t>
  </si>
  <si>
    <t>V km/h</t>
  </si>
  <si>
    <t>V nudos</t>
  </si>
  <si>
    <t>Línea flotación</t>
  </si>
  <si>
    <t>Potencia necesaria</t>
  </si>
  <si>
    <t>Carga (kg)</t>
  </si>
  <si>
    <t>Potencia kw</t>
  </si>
  <si>
    <t>Necesidad vaporización caldera</t>
  </si>
  <si>
    <t>Superficie calentatº m2</t>
  </si>
  <si>
    <t>Motor</t>
  </si>
  <si>
    <t>Superficie pistón A=</t>
  </si>
  <si>
    <t>Ø pistón cm=</t>
  </si>
  <si>
    <t>cm</t>
  </si>
  <si>
    <r>
      <t>cm</t>
    </r>
    <r>
      <rPr>
        <i/>
        <vertAlign val="superscript"/>
        <sz val="10"/>
        <rFont val="Arial"/>
        <family val="2"/>
      </rPr>
      <t>2</t>
    </r>
  </si>
  <si>
    <t>Nº cilindros z=</t>
  </si>
  <si>
    <t>Carrera pistón H=</t>
  </si>
  <si>
    <t>Rpm n=</t>
  </si>
  <si>
    <t>rpm</t>
  </si>
  <si>
    <r>
      <t>P media cilin= P</t>
    </r>
    <r>
      <rPr>
        <i/>
        <vertAlign val="subscript"/>
        <sz val="10"/>
        <rFont val="Arial"/>
        <family val="2"/>
      </rPr>
      <t>m</t>
    </r>
  </si>
  <si>
    <t>mm</t>
  </si>
  <si>
    <t>bar</t>
  </si>
  <si>
    <r>
      <t xml:space="preserve">Renditº motor </t>
    </r>
    <r>
      <rPr>
        <sz val="10"/>
        <rFont val="GreekC"/>
        <family val="0"/>
      </rPr>
      <t>h</t>
    </r>
    <r>
      <rPr>
        <sz val="10"/>
        <rFont val="Arial"/>
        <family val="0"/>
      </rPr>
      <t>=</t>
    </r>
  </si>
  <si>
    <t>Potencia=</t>
  </si>
  <si>
    <t>kw</t>
  </si>
  <si>
    <t>Caldera</t>
  </si>
  <si>
    <t>Volumen</t>
  </si>
  <si>
    <t>V=</t>
  </si>
  <si>
    <t>dm</t>
  </si>
  <si>
    <r>
      <t>dm</t>
    </r>
    <r>
      <rPr>
        <i/>
        <vertAlign val="superscript"/>
        <sz val="10"/>
        <rFont val="Arial"/>
        <family val="2"/>
      </rPr>
      <t>2</t>
    </r>
  </si>
  <si>
    <t>dm3/min</t>
  </si>
  <si>
    <t>CV</t>
  </si>
  <si>
    <t>Fte: Dampfboot auf dem Bielersee Isle of Jura</t>
  </si>
  <si>
    <t>www.steamboat.ch/home/home.htm</t>
  </si>
  <si>
    <t>PROYECTO</t>
  </si>
  <si>
    <t>Ttura (ºC)</t>
  </si>
  <si>
    <t>Entalpía (Kj/kg)</t>
  </si>
  <si>
    <r>
      <t>Kcal/dm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vapor</t>
    </r>
  </si>
  <si>
    <r>
      <t xml:space="preserve">calor </t>
    </r>
    <r>
      <rPr>
        <b/>
        <i/>
        <vertAlign val="subscript"/>
        <sz val="10"/>
        <rFont val="Arial"/>
        <family val="2"/>
      </rPr>
      <t>agua</t>
    </r>
  </si>
  <si>
    <r>
      <t xml:space="preserve">Calor </t>
    </r>
    <r>
      <rPr>
        <b/>
        <i/>
        <vertAlign val="subscript"/>
        <sz val="10"/>
        <rFont val="Arial"/>
        <family val="2"/>
      </rPr>
      <t>Lat.</t>
    </r>
  </si>
  <si>
    <r>
      <t xml:space="preserve">Calor </t>
    </r>
    <r>
      <rPr>
        <b/>
        <i/>
        <vertAlign val="subscript"/>
        <sz val="10"/>
        <rFont val="Arial"/>
        <family val="2"/>
      </rPr>
      <t>vapor</t>
    </r>
  </si>
  <si>
    <t>Entalpía (Kcal/kg; 1Kj=0,24kcal))</t>
  </si>
  <si>
    <t>Kcal/h</t>
  </si>
  <si>
    <t>(vap./agua)</t>
  </si>
  <si>
    <t>Vol.ratio- l.</t>
  </si>
  <si>
    <t>(agua/vap.)</t>
  </si>
  <si>
    <t>kg leña/h</t>
  </si>
  <si>
    <r>
      <t>P</t>
    </r>
    <r>
      <rPr>
        <b/>
        <i/>
        <vertAlign val="subscript"/>
        <sz val="10"/>
        <rFont val="Arial"/>
        <family val="2"/>
      </rPr>
      <t xml:space="preserve">rel. </t>
    </r>
    <r>
      <rPr>
        <b/>
        <i/>
        <sz val="10"/>
        <rFont val="Arial"/>
        <family val="2"/>
      </rPr>
      <t>(bar)</t>
    </r>
  </si>
  <si>
    <r>
      <t>P</t>
    </r>
    <r>
      <rPr>
        <b/>
        <i/>
        <vertAlign val="subscript"/>
        <sz val="10"/>
        <rFont val="Arial"/>
        <family val="2"/>
      </rPr>
      <t>absol</t>
    </r>
    <r>
      <rPr>
        <b/>
        <i/>
        <sz val="10"/>
        <rFont val="Arial"/>
        <family val="2"/>
      </rPr>
      <t xml:space="preserve"> (bar)</t>
    </r>
  </si>
  <si>
    <t>Cilindro=</t>
  </si>
  <si>
    <t>cm3</t>
  </si>
  <si>
    <t>rpm=</t>
  </si>
  <si>
    <t>P media=</t>
  </si>
  <si>
    <t>Renditº=</t>
  </si>
  <si>
    <t>%</t>
  </si>
  <si>
    <t>litros de agua/h</t>
  </si>
  <si>
    <r>
      <t>cm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/m.TOT.:</t>
    </r>
  </si>
  <si>
    <t>Vol vapor:</t>
  </si>
  <si>
    <r>
      <t>dm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/min</t>
    </r>
  </si>
  <si>
    <r>
      <t>Kcal/l</t>
    </r>
    <r>
      <rPr>
        <i/>
        <sz val="10"/>
        <rFont val="Arial"/>
        <family val="2"/>
      </rPr>
      <t>x</t>
    </r>
    <r>
      <rPr>
        <b/>
        <i/>
        <sz val="10"/>
        <rFont val="Arial"/>
        <family val="2"/>
      </rPr>
      <t>tot. Vap. (min.)</t>
    </r>
  </si>
  <si>
    <t>kg antrac./h</t>
  </si>
  <si>
    <t>kcal/kg</t>
  </si>
  <si>
    <t>kg prop./h</t>
  </si>
  <si>
    <t>kg alcohol/h</t>
  </si>
  <si>
    <t>kg gasoil/h</t>
  </si>
  <si>
    <t>alcohol</t>
  </si>
  <si>
    <t>0,8 kg/dm3</t>
  </si>
  <si>
    <t>antrac</t>
  </si>
  <si>
    <t>1,7 kg/dm3</t>
  </si>
  <si>
    <t>propano</t>
  </si>
  <si>
    <t>0,59 kg/dm3</t>
  </si>
  <si>
    <t>pino-abeto</t>
  </si>
  <si>
    <t>0,7 kg/dm3</t>
  </si>
  <si>
    <t>gasoil</t>
  </si>
  <si>
    <t>0,89 kg/dm3</t>
  </si>
  <si>
    <t>Rendimiento energético del motor</t>
  </si>
  <si>
    <t>Trabajo en 1 h ( Pot x t):</t>
  </si>
  <si>
    <t>kwh         =</t>
  </si>
  <si>
    <t>bar presión media de vapor</t>
  </si>
  <si>
    <t>trabajando a:</t>
  </si>
  <si>
    <t>Necs. Energét. Vaporización/h:</t>
  </si>
  <si>
    <t>Rendimiento energético:</t>
  </si>
  <si>
    <t>1 KJ/sec=1Kw</t>
  </si>
  <si>
    <t>0,746 kw = 1 HP</t>
  </si>
  <si>
    <t>1 kw = 1,34 HP</t>
  </si>
  <si>
    <t>3600Kj/h = 864 kcal/h = 1kw</t>
  </si>
  <si>
    <t>kcal/h x 1h</t>
  </si>
  <si>
    <t>nudos</t>
  </si>
  <si>
    <t>mph</t>
  </si>
  <si>
    <t>fpm</t>
  </si>
  <si>
    <t>paso original</t>
  </si>
  <si>
    <t>paso corregido</t>
  </si>
  <si>
    <t>diámetro</t>
  </si>
  <si>
    <t>HELICE</t>
  </si>
  <si>
    <t>Pesquero Euskalduna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</si>
</sst>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"/>
    <numFmt numFmtId="167" formatCode="0.000"/>
    <numFmt numFmtId="168" formatCode="0.000000"/>
    <numFmt numFmtId="169" formatCode="0.0000000"/>
    <numFmt numFmtId="170" formatCode="0.00000"/>
    <numFmt numFmtId="171" formatCode="0.0000"/>
    <numFmt numFmtId="172" formatCode="0.00\ &quot;rpm&quot;"/>
    <numFmt numFmtId="173" formatCode="0\ &quot;rpm&quot;"/>
    <numFmt numFmtId="174" formatCode="0.00\ &quot;nudos&quot;"/>
    <numFmt numFmtId="175" formatCode="0.00\ &quot;mph&quot;"/>
    <numFmt numFmtId="176" formatCode="0.00\ &quot;fpm&quot;"/>
    <numFmt numFmtId="177" formatCode="0.00\ &quot;pulg&quot;"/>
    <numFmt numFmtId="178" formatCode="0.00\ &quot;km/h&quot;"/>
    <numFmt numFmtId="179" formatCode="0.00\ &quot;m min&quot;"/>
    <numFmt numFmtId="180" formatCode="0.00\ &quot;m/min&quot;"/>
    <numFmt numFmtId="181" formatCode="0.00\ &quot;mm&quot;"/>
  </numFmts>
  <fonts count="1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sz val="10"/>
      <name val="GreekC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3" borderId="2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right"/>
      <protection locked="0"/>
    </xf>
    <xf numFmtId="0" fontId="0" fillId="3" borderId="3" xfId="0" applyFill="1" applyBorder="1" applyAlignment="1">
      <alignment horizontal="left"/>
    </xf>
    <xf numFmtId="2" fontId="1" fillId="3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2" fontId="2" fillId="4" borderId="4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2" fontId="2" fillId="4" borderId="4" xfId="0" applyNumberFormat="1" applyFont="1" applyFill="1" applyBorder="1" applyAlignment="1">
      <alignment/>
    </xf>
    <xf numFmtId="0" fontId="6" fillId="0" borderId="0" xfId="15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5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167" fontId="1" fillId="0" borderId="22" xfId="0" applyNumberFormat="1" applyFont="1" applyBorder="1" applyAlignment="1">
      <alignment/>
    </xf>
    <xf numFmtId="167" fontId="1" fillId="0" borderId="23" xfId="0" applyNumberFormat="1" applyFont="1" applyBorder="1" applyAlignment="1">
      <alignment/>
    </xf>
    <xf numFmtId="167" fontId="1" fillId="0" borderId="24" xfId="0" applyNumberFormat="1" applyFont="1" applyBorder="1" applyAlignment="1">
      <alignment/>
    </xf>
    <xf numFmtId="2" fontId="1" fillId="3" borderId="9" xfId="0" applyNumberFormat="1" applyFont="1" applyFill="1" applyBorder="1" applyAlignment="1">
      <alignment/>
    </xf>
    <xf numFmtId="2" fontId="1" fillId="3" borderId="12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0" fontId="2" fillId="5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1" fillId="5" borderId="6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168" fontId="1" fillId="0" borderId="26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4" fontId="1" fillId="3" borderId="27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4" fontId="1" fillId="3" borderId="25" xfId="0" applyNumberFormat="1" applyFont="1" applyFill="1" applyBorder="1" applyAlignment="1">
      <alignment/>
    </xf>
    <xf numFmtId="0" fontId="1" fillId="6" borderId="28" xfId="0" applyFont="1" applyFill="1" applyBorder="1" applyAlignment="1">
      <alignment/>
    </xf>
    <xf numFmtId="0" fontId="1" fillId="6" borderId="29" xfId="0" applyFont="1" applyFill="1" applyBorder="1" applyAlignment="1">
      <alignment/>
    </xf>
    <xf numFmtId="0" fontId="1" fillId="6" borderId="30" xfId="0" applyFont="1" applyFill="1" applyBorder="1" applyAlignment="1">
      <alignment/>
    </xf>
    <xf numFmtId="167" fontId="1" fillId="0" borderId="16" xfId="0" applyNumberFormat="1" applyFont="1" applyBorder="1" applyAlignment="1">
      <alignment horizontal="center"/>
    </xf>
    <xf numFmtId="167" fontId="1" fillId="0" borderId="17" xfId="0" applyNumberFormat="1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1" fontId="0" fillId="3" borderId="2" xfId="0" applyNumberFormat="1" applyFill="1" applyBorder="1" applyAlignment="1" applyProtection="1">
      <alignment/>
      <protection locked="0"/>
    </xf>
    <xf numFmtId="1" fontId="0" fillId="3" borderId="3" xfId="0" applyNumberFormat="1" applyFill="1" applyBorder="1" applyAlignment="1" applyProtection="1">
      <alignment/>
      <protection locked="0"/>
    </xf>
    <xf numFmtId="0" fontId="0" fillId="4" borderId="4" xfId="0" applyFill="1" applyBorder="1" applyAlignment="1">
      <alignment/>
    </xf>
    <xf numFmtId="2" fontId="1" fillId="4" borderId="4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/>
    </xf>
    <xf numFmtId="2" fontId="1" fillId="4" borderId="4" xfId="0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left"/>
    </xf>
    <xf numFmtId="2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2" fontId="1" fillId="4" borderId="5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7" borderId="6" xfId="0" applyNumberFormat="1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/>
    </xf>
    <xf numFmtId="2" fontId="1" fillId="7" borderId="7" xfId="0" applyNumberFormat="1" applyFont="1" applyFill="1" applyBorder="1" applyAlignment="1">
      <alignment/>
    </xf>
    <xf numFmtId="2" fontId="1" fillId="7" borderId="8" xfId="0" applyNumberFormat="1" applyFont="1" applyFill="1" applyBorder="1" applyAlignment="1">
      <alignment/>
    </xf>
    <xf numFmtId="0" fontId="1" fillId="7" borderId="18" xfId="0" applyFont="1" applyFill="1" applyBorder="1" applyAlignment="1">
      <alignment/>
    </xf>
    <xf numFmtId="168" fontId="1" fillId="7" borderId="18" xfId="0" applyNumberFormat="1" applyFont="1" applyFill="1" applyBorder="1" applyAlignment="1">
      <alignment/>
    </xf>
    <xf numFmtId="167" fontId="1" fillId="7" borderId="23" xfId="0" applyNumberFormat="1" applyFont="1" applyFill="1" applyBorder="1" applyAlignment="1">
      <alignment/>
    </xf>
    <xf numFmtId="4" fontId="1" fillId="7" borderId="25" xfId="0" applyNumberFormat="1" applyFont="1" applyFill="1" applyBorder="1" applyAlignment="1">
      <alignment/>
    </xf>
    <xf numFmtId="167" fontId="1" fillId="7" borderId="18" xfId="0" applyNumberFormat="1" applyFont="1" applyFill="1" applyBorder="1" applyAlignment="1">
      <alignment horizontal="center"/>
    </xf>
    <xf numFmtId="2" fontId="1" fillId="7" borderId="8" xfId="0" applyNumberFormat="1" applyFont="1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2" fontId="1" fillId="7" borderId="9" xfId="0" applyNumberFormat="1" applyFont="1" applyFill="1" applyBorder="1" applyAlignment="1">
      <alignment/>
    </xf>
    <xf numFmtId="2" fontId="1" fillId="7" borderId="10" xfId="0" applyNumberFormat="1" applyFont="1" applyFill="1" applyBorder="1" applyAlignment="1">
      <alignment/>
    </xf>
    <xf numFmtId="2" fontId="1" fillId="7" borderId="11" xfId="0" applyNumberFormat="1" applyFont="1" applyFill="1" applyBorder="1" applyAlignment="1">
      <alignment/>
    </xf>
    <xf numFmtId="0" fontId="1" fillId="7" borderId="16" xfId="0" applyFont="1" applyFill="1" applyBorder="1" applyAlignment="1">
      <alignment/>
    </xf>
    <xf numFmtId="168" fontId="1" fillId="7" borderId="16" xfId="0" applyNumberFormat="1" applyFont="1" applyFill="1" applyBorder="1" applyAlignment="1">
      <alignment/>
    </xf>
    <xf numFmtId="167" fontId="1" fillId="7" borderId="21" xfId="0" applyNumberFormat="1" applyFont="1" applyFill="1" applyBorder="1" applyAlignment="1">
      <alignment/>
    </xf>
    <xf numFmtId="4" fontId="1" fillId="7" borderId="27" xfId="0" applyNumberFormat="1" applyFont="1" applyFill="1" applyBorder="1" applyAlignment="1">
      <alignment/>
    </xf>
    <xf numFmtId="167" fontId="1" fillId="7" borderId="16" xfId="0" applyNumberFormat="1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2" fontId="1" fillId="8" borderId="9" xfId="0" applyNumberFormat="1" applyFont="1" applyFill="1" applyBorder="1" applyAlignment="1">
      <alignment/>
    </xf>
    <xf numFmtId="4" fontId="1" fillId="8" borderId="27" xfId="0" applyNumberFormat="1" applyFont="1" applyFill="1" applyBorder="1" applyAlignment="1">
      <alignment/>
    </xf>
    <xf numFmtId="2" fontId="1" fillId="8" borderId="12" xfId="0" applyNumberFormat="1" applyFont="1" applyFill="1" applyBorder="1" applyAlignment="1">
      <alignment/>
    </xf>
    <xf numFmtId="4" fontId="1" fillId="8" borderId="2" xfId="0" applyNumberFormat="1" applyFont="1" applyFill="1" applyBorder="1" applyAlignment="1">
      <alignment/>
    </xf>
    <xf numFmtId="2" fontId="1" fillId="8" borderId="6" xfId="0" applyNumberFormat="1" applyFont="1" applyFill="1" applyBorder="1" applyAlignment="1">
      <alignment/>
    </xf>
    <xf numFmtId="4" fontId="1" fillId="8" borderId="25" xfId="0" applyNumberFormat="1" applyFont="1" applyFill="1" applyBorder="1" applyAlignment="1">
      <alignment/>
    </xf>
    <xf numFmtId="2" fontId="1" fillId="8" borderId="14" xfId="0" applyNumberFormat="1" applyFont="1" applyFill="1" applyBorder="1" applyAlignment="1">
      <alignment/>
    </xf>
    <xf numFmtId="4" fontId="1" fillId="8" borderId="38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45" xfId="0" applyFont="1" applyBorder="1" applyAlignment="1">
      <alignment/>
    </xf>
    <xf numFmtId="10" fontId="1" fillId="0" borderId="43" xfId="0" applyNumberFormat="1" applyFont="1" applyBorder="1" applyAlignment="1">
      <alignment/>
    </xf>
    <xf numFmtId="10" fontId="1" fillId="0" borderId="39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3" borderId="4" xfId="0" applyNumberFormat="1" applyFont="1" applyFill="1" applyBorder="1" applyAlignment="1" applyProtection="1">
      <alignment/>
      <protection locked="0"/>
    </xf>
    <xf numFmtId="0" fontId="1" fillId="3" borderId="5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2" fillId="5" borderId="47" xfId="0" applyFont="1" applyFill="1" applyBorder="1" applyAlignment="1">
      <alignment horizontal="center" vertical="justify"/>
    </xf>
    <xf numFmtId="0" fontId="2" fillId="5" borderId="4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73" fontId="1" fillId="0" borderId="9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75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181" fontId="1" fillId="0" borderId="8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2" fillId="3" borderId="51" xfId="0" applyFont="1" applyFill="1" applyBorder="1" applyAlignment="1" applyProtection="1">
      <alignment horizontal="center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justify"/>
    </xf>
    <xf numFmtId="0" fontId="2" fillId="5" borderId="33" xfId="0" applyFont="1" applyFill="1" applyBorder="1" applyAlignment="1">
      <alignment horizontal="center" vertical="justify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justify"/>
    </xf>
    <xf numFmtId="0" fontId="1" fillId="6" borderId="54" xfId="0" applyFont="1" applyFill="1" applyBorder="1" applyAlignment="1">
      <alignment horizontal="center" vertical="justify"/>
    </xf>
    <xf numFmtId="2" fontId="2" fillId="5" borderId="55" xfId="0" applyNumberFormat="1" applyFont="1" applyFill="1" applyBorder="1" applyAlignment="1">
      <alignment horizontal="center" vertical="justify"/>
    </xf>
    <xf numFmtId="2" fontId="2" fillId="5" borderId="56" xfId="0" applyNumberFormat="1" applyFont="1" applyFill="1" applyBorder="1" applyAlignment="1">
      <alignment horizontal="center" vertical="justify"/>
    </xf>
    <xf numFmtId="2" fontId="2" fillId="5" borderId="57" xfId="0" applyNumberFormat="1" applyFont="1" applyFill="1" applyBorder="1" applyAlignment="1">
      <alignment horizontal="center" vertical="justify"/>
    </xf>
    <xf numFmtId="2" fontId="2" fillId="5" borderId="58" xfId="0" applyNumberFormat="1" applyFont="1" applyFill="1" applyBorder="1" applyAlignment="1">
      <alignment horizontal="center" vertical="justify"/>
    </xf>
    <xf numFmtId="2" fontId="2" fillId="5" borderId="59" xfId="0" applyNumberFormat="1" applyFont="1" applyFill="1" applyBorder="1" applyAlignment="1">
      <alignment horizontal="center" vertical="justify"/>
    </xf>
    <xf numFmtId="2" fontId="2" fillId="5" borderId="60" xfId="0" applyNumberFormat="1" applyFont="1" applyFill="1" applyBorder="1" applyAlignment="1">
      <alignment horizontal="center" vertical="justify"/>
    </xf>
    <xf numFmtId="0" fontId="2" fillId="5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177" fontId="1" fillId="3" borderId="6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png" /><Relationship Id="rId4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5</xdr:col>
      <xdr:colOff>9525</xdr:colOff>
      <xdr:row>8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3324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37</xdr:row>
      <xdr:rowOff>76200</xdr:rowOff>
    </xdr:from>
    <xdr:to>
      <xdr:col>6</xdr:col>
      <xdr:colOff>447675</xdr:colOff>
      <xdr:row>50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6162675"/>
          <a:ext cx="12477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21</xdr:row>
      <xdr:rowOff>47625</xdr:rowOff>
    </xdr:from>
    <xdr:to>
      <xdr:col>5</xdr:col>
      <xdr:colOff>304800</xdr:colOff>
      <xdr:row>33</xdr:row>
      <xdr:rowOff>28575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3467100"/>
          <a:ext cx="971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23</xdr:row>
      <xdr:rowOff>0</xdr:rowOff>
    </xdr:from>
    <xdr:to>
      <xdr:col>7</xdr:col>
      <xdr:colOff>342900</xdr:colOff>
      <xdr:row>32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62475" y="3743325"/>
          <a:ext cx="12192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38100</xdr:rowOff>
    </xdr:from>
    <xdr:to>
      <xdr:col>9</xdr:col>
      <xdr:colOff>9525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8100"/>
          <a:ext cx="4543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47625</xdr:rowOff>
    </xdr:from>
    <xdr:to>
      <xdr:col>9</xdr:col>
      <xdr:colOff>9525</xdr:colOff>
      <xdr:row>30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200150"/>
          <a:ext cx="45148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30</xdr:row>
      <xdr:rowOff>76200</xdr:rowOff>
    </xdr:from>
    <xdr:to>
      <xdr:col>9</xdr:col>
      <xdr:colOff>19050</xdr:colOff>
      <xdr:row>31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991100"/>
          <a:ext cx="450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amboat.ch/home/home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4"/>
  <sheetViews>
    <sheetView tabSelected="1" workbookViewId="0" topLeftCell="A1">
      <selection activeCell="I9" sqref="I9"/>
    </sheetView>
  </sheetViews>
  <sheetFormatPr defaultColWidth="11.421875" defaultRowHeight="12.75"/>
  <cols>
    <col min="1" max="1" width="12.7109375" style="0" bestFit="1" customWidth="1"/>
    <col min="2" max="2" width="5.28125" style="0" customWidth="1"/>
    <col min="3" max="3" width="14.8515625" style="0" customWidth="1"/>
    <col min="4" max="4" width="10.8515625" style="0" customWidth="1"/>
    <col min="5" max="5" width="14.8515625" style="0" customWidth="1"/>
    <col min="7" max="7" width="11.57421875" style="0" bestFit="1" customWidth="1"/>
  </cols>
  <sheetData>
    <row r="3" ht="13.5" thickBot="1"/>
    <row r="4" spans="7:8" ht="12.75">
      <c r="G4" s="196" t="s">
        <v>44</v>
      </c>
      <c r="H4" s="197"/>
    </row>
    <row r="5" spans="7:8" ht="13.5" thickBot="1">
      <c r="G5" s="198" t="s">
        <v>104</v>
      </c>
      <c r="H5" s="199"/>
    </row>
    <row r="11" spans="1:5" ht="12.75">
      <c r="A11" s="1" t="s">
        <v>0</v>
      </c>
      <c r="B11" s="1" t="s">
        <v>2</v>
      </c>
      <c r="C11" s="1" t="s">
        <v>3</v>
      </c>
      <c r="E11" s="1" t="s">
        <v>11</v>
      </c>
    </row>
    <row r="12" spans="1:3" ht="12.75">
      <c r="A12" s="2" t="s">
        <v>1</v>
      </c>
      <c r="B12" s="3">
        <v>4</v>
      </c>
      <c r="C12" s="2" t="s">
        <v>4</v>
      </c>
    </row>
    <row r="13" spans="1:7" ht="12.75">
      <c r="A13" s="2" t="s">
        <v>5</v>
      </c>
      <c r="B13" s="3" t="s">
        <v>6</v>
      </c>
      <c r="C13" s="2" t="s">
        <v>7</v>
      </c>
      <c r="E13" s="4" t="s">
        <v>14</v>
      </c>
      <c r="F13" s="4" t="s">
        <v>12</v>
      </c>
      <c r="G13" s="4" t="s">
        <v>13</v>
      </c>
    </row>
    <row r="14" spans="1:7" ht="12.75">
      <c r="A14" s="2" t="s">
        <v>8</v>
      </c>
      <c r="B14" s="3" t="s">
        <v>9</v>
      </c>
      <c r="C14" s="2" t="s">
        <v>10</v>
      </c>
      <c r="E14" s="7">
        <v>15</v>
      </c>
      <c r="F14" s="6">
        <f>4.5*(E14)^(0.5)</f>
        <v>17.428425057933378</v>
      </c>
      <c r="G14" s="6">
        <f>F14/1.85</f>
        <v>9.420770301585609</v>
      </c>
    </row>
    <row r="17" spans="1:7" ht="12.75">
      <c r="A17" s="201" t="s">
        <v>15</v>
      </c>
      <c r="B17" s="201"/>
      <c r="E17" s="202" t="s">
        <v>18</v>
      </c>
      <c r="F17" s="202"/>
      <c r="G17" s="202"/>
    </row>
    <row r="19" spans="1:7" ht="12.75">
      <c r="A19" s="201" t="s">
        <v>16</v>
      </c>
      <c r="B19" s="201"/>
      <c r="C19" s="1" t="s">
        <v>17</v>
      </c>
      <c r="E19" s="4" t="s">
        <v>17</v>
      </c>
      <c r="F19" s="201" t="s">
        <v>19</v>
      </c>
      <c r="G19" s="201"/>
    </row>
    <row r="20" spans="1:7" ht="12.75">
      <c r="A20" s="205">
        <v>12750</v>
      </c>
      <c r="B20" s="205"/>
      <c r="C20" s="5">
        <f>2.2*(A20/1000)</f>
        <v>28.05</v>
      </c>
      <c r="E20" s="5">
        <f>C20</f>
        <v>28.05</v>
      </c>
      <c r="F20" s="194">
        <f>0.8*E20</f>
        <v>22.44</v>
      </c>
      <c r="G20" s="195"/>
    </row>
    <row r="22" ht="12.75">
      <c r="A22" s="1" t="s">
        <v>20</v>
      </c>
    </row>
    <row r="28" spans="1:4" ht="14.25">
      <c r="A28" s="200" t="s">
        <v>21</v>
      </c>
      <c r="B28" s="200"/>
      <c r="C28" s="8">
        <f>PI()*(C29/2)^2</f>
        <v>240.52818754046854</v>
      </c>
      <c r="D28" s="9" t="s">
        <v>24</v>
      </c>
    </row>
    <row r="29" spans="1:4" ht="12.75">
      <c r="A29" s="203" t="s">
        <v>22</v>
      </c>
      <c r="B29" s="203"/>
      <c r="C29" s="10">
        <v>17.5</v>
      </c>
      <c r="D29" s="11" t="s">
        <v>23</v>
      </c>
    </row>
    <row r="30" spans="1:4" ht="12.75">
      <c r="A30" s="204" t="s">
        <v>25</v>
      </c>
      <c r="B30" s="204"/>
      <c r="C30" s="94">
        <v>2</v>
      </c>
      <c r="D30" s="95"/>
    </row>
    <row r="31" spans="1:4" ht="12.75">
      <c r="A31" s="204" t="s">
        <v>26</v>
      </c>
      <c r="B31" s="204"/>
      <c r="C31" s="13">
        <v>130</v>
      </c>
      <c r="D31" s="12" t="s">
        <v>30</v>
      </c>
    </row>
    <row r="32" spans="1:4" ht="12.75">
      <c r="A32" s="204" t="s">
        <v>27</v>
      </c>
      <c r="B32" s="204"/>
      <c r="C32" s="13">
        <v>200</v>
      </c>
      <c r="D32" s="14" t="s">
        <v>28</v>
      </c>
    </row>
    <row r="33" spans="1:4" ht="15.75">
      <c r="A33" s="204" t="s">
        <v>29</v>
      </c>
      <c r="B33" s="204"/>
      <c r="C33" s="15">
        <v>9</v>
      </c>
      <c r="D33" s="11" t="s">
        <v>31</v>
      </c>
    </row>
    <row r="34" spans="1:4" ht="12.75">
      <c r="A34" s="203" t="s">
        <v>32</v>
      </c>
      <c r="B34" s="203"/>
      <c r="C34" s="208">
        <v>0.7</v>
      </c>
      <c r="D34" s="209"/>
    </row>
    <row r="35" ht="13.5" thickBot="1"/>
    <row r="36" spans="1:6" ht="13.5" thickBot="1">
      <c r="A36" s="210" t="s">
        <v>33</v>
      </c>
      <c r="B36" s="210"/>
      <c r="C36" s="17">
        <f>(C28*C30*C31*C32*C33*C34)/3057000</f>
        <v>25.77593530855659</v>
      </c>
      <c r="D36" s="18" t="s">
        <v>34</v>
      </c>
      <c r="E36" s="23">
        <f>C36/0.756</f>
        <v>34.09515252454575</v>
      </c>
      <c r="F36" s="18" t="s">
        <v>41</v>
      </c>
    </row>
    <row r="39" ht="12.75">
      <c r="A39" s="1" t="s">
        <v>35</v>
      </c>
    </row>
    <row r="43" spans="1:4" ht="14.25">
      <c r="A43" s="200" t="s">
        <v>21</v>
      </c>
      <c r="B43" s="200"/>
      <c r="C43" s="8">
        <f>C28/100</f>
        <v>2.405281875404685</v>
      </c>
      <c r="D43" s="9" t="s">
        <v>39</v>
      </c>
    </row>
    <row r="44" spans="1:4" ht="12.75">
      <c r="A44" s="204" t="s">
        <v>25</v>
      </c>
      <c r="B44" s="204"/>
      <c r="C44" s="206">
        <f>C30</f>
        <v>2</v>
      </c>
      <c r="D44" s="207"/>
    </row>
    <row r="45" spans="1:4" ht="12.75">
      <c r="A45" s="204" t="s">
        <v>26</v>
      </c>
      <c r="B45" s="204"/>
      <c r="C45" s="19">
        <f>C31/100</f>
        <v>1.3</v>
      </c>
      <c r="D45" s="20" t="s">
        <v>38</v>
      </c>
    </row>
    <row r="46" spans="1:4" ht="12.75">
      <c r="A46" s="204" t="s">
        <v>27</v>
      </c>
      <c r="B46" s="204"/>
      <c r="C46" s="21">
        <f>C32</f>
        <v>200</v>
      </c>
      <c r="D46" s="22" t="s">
        <v>28</v>
      </c>
    </row>
    <row r="47" ht="13.5" thickBot="1"/>
    <row r="48" spans="1:4" ht="13.5" thickBot="1">
      <c r="A48" s="16" t="s">
        <v>36</v>
      </c>
      <c r="B48" s="16" t="s">
        <v>37</v>
      </c>
      <c r="C48" s="23">
        <f>C43*C44*C45*C46*2</f>
        <v>2501.4931504208726</v>
      </c>
      <c r="D48" s="18" t="s">
        <v>40</v>
      </c>
    </row>
    <row r="53" ht="12.75">
      <c r="E53" t="s">
        <v>42</v>
      </c>
    </row>
    <row r="54" ht="12.75">
      <c r="F54" s="24" t="s">
        <v>43</v>
      </c>
    </row>
  </sheetData>
  <sheetProtection sheet="1" objects="1" scenarios="1"/>
  <mergeCells count="22">
    <mergeCell ref="A45:B45"/>
    <mergeCell ref="A46:B46"/>
    <mergeCell ref="A34:B34"/>
    <mergeCell ref="A36:B36"/>
    <mergeCell ref="A43:B43"/>
    <mergeCell ref="A29:B29"/>
    <mergeCell ref="A30:B30"/>
    <mergeCell ref="A20:B20"/>
    <mergeCell ref="C44:D44"/>
    <mergeCell ref="C34:D34"/>
    <mergeCell ref="A31:B31"/>
    <mergeCell ref="A32:B32"/>
    <mergeCell ref="A33:B33"/>
    <mergeCell ref="A44:B44"/>
    <mergeCell ref="F20:G20"/>
    <mergeCell ref="G4:H4"/>
    <mergeCell ref="G5:H5"/>
    <mergeCell ref="A28:B28"/>
    <mergeCell ref="A17:B17"/>
    <mergeCell ref="A19:B19"/>
    <mergeCell ref="E17:G17"/>
    <mergeCell ref="F19:G19"/>
  </mergeCells>
  <hyperlinks>
    <hyperlink ref="F54" r:id="rId1" display="www.steamboat.ch/home/home.htm"/>
  </hyperlinks>
  <printOptions/>
  <pageMargins left="0.5511811023622047" right="0.3937007874015748" top="0.984251968503937" bottom="0.984251968503937" header="0.4724409448818898" footer="0"/>
  <pageSetup horizontalDpi="300" verticalDpi="300" orientation="portrait" paperSize="9" r:id="rId9"/>
  <headerFooter alignWithMargins="0">
    <oddHeader>&amp;CCALCULOS DE POTENCIA DE MOTOR
EN BOTES</oddHeader>
  </headerFooter>
  <drawing r:id="rId8"/>
  <legacyDrawing r:id="rId7"/>
  <oleObjects>
    <oleObject progId="Equation.3" shapeId="48451" r:id="rId2"/>
    <oleObject progId="Equation.3" shapeId="75042" r:id="rId3"/>
    <oleObject progId="Equation.3" shapeId="90565" r:id="rId4"/>
    <oleObject progId="Equation.3" shapeId="105643" r:id="rId5"/>
    <oleObject progId="Equation.3" shapeId="25804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U52"/>
  <sheetViews>
    <sheetView zoomScale="95" zoomScaleNormal="95" workbookViewId="0" topLeftCell="A2">
      <pane xSplit="4" ySplit="9" topLeftCell="E11" activePane="bottomRight" state="frozen"/>
      <selection pane="topLeft" activeCell="A2" sqref="A2"/>
      <selection pane="topRight" activeCell="E2" sqref="E2"/>
      <selection pane="bottomLeft" activeCell="A11" sqref="A11"/>
      <selection pane="bottomRight" activeCell="B3" sqref="B3:D4"/>
    </sheetView>
  </sheetViews>
  <sheetFormatPr defaultColWidth="11.421875" defaultRowHeight="12.75"/>
  <cols>
    <col min="1" max="1" width="4.00390625" style="0" bestFit="1" customWidth="1"/>
    <col min="2" max="2" width="8.7109375" style="26" customWidth="1"/>
    <col min="3" max="3" width="7.7109375" style="26" customWidth="1"/>
    <col min="4" max="4" width="7.140625" style="25" customWidth="1"/>
    <col min="5" max="5" width="8.8515625" style="0" customWidth="1"/>
    <col min="6" max="6" width="9.421875" style="0" customWidth="1"/>
    <col min="7" max="7" width="9.28125" style="0" customWidth="1"/>
    <col min="8" max="8" width="10.140625" style="0" bestFit="1" customWidth="1"/>
    <col min="9" max="9" width="9.7109375" style="0" bestFit="1" customWidth="1"/>
    <col min="10" max="10" width="10.7109375" style="0" customWidth="1"/>
    <col min="11" max="12" width="9.57421875" style="0" customWidth="1"/>
    <col min="13" max="13" width="9.28125" style="0" customWidth="1"/>
    <col min="14" max="14" width="10.7109375" style="0" customWidth="1"/>
    <col min="15" max="15" width="12.00390625" style="0" customWidth="1"/>
    <col min="16" max="16" width="12.57421875" style="0" customWidth="1"/>
    <col min="17" max="17" width="11.7109375" style="0" bestFit="1" customWidth="1"/>
  </cols>
  <sheetData>
    <row r="1" ht="13.5" thickBot="1"/>
    <row r="2" spans="6:13" ht="6.75" customHeight="1" thickBot="1">
      <c r="F2" s="103"/>
      <c r="G2" s="104"/>
      <c r="H2" s="104"/>
      <c r="I2" s="104"/>
      <c r="J2" s="104"/>
      <c r="K2" s="104"/>
      <c r="L2" s="104"/>
      <c r="M2" s="105"/>
    </row>
    <row r="3" spans="2:20" ht="13.5" thickBot="1">
      <c r="B3" s="222" t="s">
        <v>44</v>
      </c>
      <c r="C3" s="223"/>
      <c r="D3" s="224"/>
      <c r="F3" s="226" t="s">
        <v>20</v>
      </c>
      <c r="G3" s="106"/>
      <c r="H3" s="107" t="s">
        <v>33</v>
      </c>
      <c r="I3" s="97">
        <f>'Botes a vapor'!C36</f>
        <v>25.77593530855659</v>
      </c>
      <c r="J3" s="98" t="s">
        <v>34</v>
      </c>
      <c r="K3" s="99">
        <f>'Botes a vapor'!E36</f>
        <v>34.09515252454575</v>
      </c>
      <c r="L3" s="98" t="s">
        <v>41</v>
      </c>
      <c r="M3" s="108"/>
      <c r="Q3" s="120" t="s">
        <v>75</v>
      </c>
      <c r="R3" s="34" t="s">
        <v>76</v>
      </c>
      <c r="S3" s="123" t="s">
        <v>77</v>
      </c>
      <c r="T3" s="35" t="s">
        <v>78</v>
      </c>
    </row>
    <row r="4" spans="2:20" ht="15" thickBot="1">
      <c r="B4" s="198" t="str">
        <f>'Botes a vapor'!G5</f>
        <v>Pesquero Euskalduna</v>
      </c>
      <c r="C4" s="225"/>
      <c r="D4" s="199"/>
      <c r="F4" s="226"/>
      <c r="G4" s="109">
        <f>'Botes a vapor'!C30</f>
        <v>2</v>
      </c>
      <c r="H4" s="107" t="s">
        <v>59</v>
      </c>
      <c r="I4" s="97">
        <f>'Botes a vapor'!C28*'Botes a vapor'!C31/10</f>
        <v>3126.866438026091</v>
      </c>
      <c r="J4" s="98" t="s">
        <v>66</v>
      </c>
      <c r="K4" s="99">
        <f>I4*G4</f>
        <v>6253.732876052182</v>
      </c>
      <c r="L4" s="98" t="s">
        <v>60</v>
      </c>
      <c r="M4" s="108"/>
      <c r="Q4" s="121" t="s">
        <v>79</v>
      </c>
      <c r="R4" s="28" t="s">
        <v>80</v>
      </c>
      <c r="S4" s="2" t="s">
        <v>81</v>
      </c>
      <c r="T4" s="37" t="s">
        <v>82</v>
      </c>
    </row>
    <row r="5" spans="6:20" ht="13.5" thickBot="1">
      <c r="F5" s="226"/>
      <c r="G5" s="110"/>
      <c r="H5" s="107" t="s">
        <v>61</v>
      </c>
      <c r="I5" s="100">
        <f>'Botes a vapor'!C32</f>
        <v>200</v>
      </c>
      <c r="J5" s="101" t="s">
        <v>62</v>
      </c>
      <c r="K5" s="99">
        <f>'Botes a vapor'!C33</f>
        <v>9</v>
      </c>
      <c r="L5" s="98" t="s">
        <v>31</v>
      </c>
      <c r="M5" s="108"/>
      <c r="Q5" s="122" t="s">
        <v>83</v>
      </c>
      <c r="R5" s="40" t="s">
        <v>84</v>
      </c>
      <c r="S5" s="124"/>
      <c r="T5" s="41"/>
    </row>
    <row r="6" spans="6:13" ht="15" thickBot="1">
      <c r="F6" s="226"/>
      <c r="G6" s="110"/>
      <c r="H6" s="107" t="s">
        <v>63</v>
      </c>
      <c r="I6" s="96">
        <f>'Botes a vapor'!C34*100</f>
        <v>70</v>
      </c>
      <c r="J6" s="102" t="s">
        <v>64</v>
      </c>
      <c r="K6" s="99" t="s">
        <v>67</v>
      </c>
      <c r="L6" s="118">
        <f>'Botes a vapor'!C48</f>
        <v>2501.4931504208726</v>
      </c>
      <c r="M6" s="119" t="s">
        <v>68</v>
      </c>
    </row>
    <row r="7" spans="6:13" ht="5.25" customHeight="1" thickBot="1">
      <c r="F7" s="111"/>
      <c r="G7" s="112"/>
      <c r="H7" s="113"/>
      <c r="I7" s="114"/>
      <c r="J7" s="115"/>
      <c r="K7" s="116"/>
      <c r="L7" s="112"/>
      <c r="M7" s="117"/>
    </row>
    <row r="8" spans="17:21" ht="13.5" thickBot="1">
      <c r="Q8" s="219" t="s">
        <v>71</v>
      </c>
      <c r="R8" s="220"/>
      <c r="S8" s="220"/>
      <c r="T8" s="220"/>
      <c r="U8" s="221"/>
    </row>
    <row r="9" spans="2:21" ht="15.75" customHeight="1">
      <c r="B9" s="229" t="s">
        <v>57</v>
      </c>
      <c r="C9" s="231" t="s">
        <v>58</v>
      </c>
      <c r="D9" s="233" t="s">
        <v>45</v>
      </c>
      <c r="E9" s="215" t="s">
        <v>46</v>
      </c>
      <c r="F9" s="216"/>
      <c r="G9" s="235"/>
      <c r="H9" s="215" t="s">
        <v>51</v>
      </c>
      <c r="I9" s="216"/>
      <c r="J9" s="217"/>
      <c r="K9" s="213" t="s">
        <v>54</v>
      </c>
      <c r="L9" s="214"/>
      <c r="M9" s="218" t="s">
        <v>47</v>
      </c>
      <c r="N9" s="218" t="s">
        <v>69</v>
      </c>
      <c r="O9" s="211" t="s">
        <v>52</v>
      </c>
      <c r="P9" s="227" t="s">
        <v>65</v>
      </c>
      <c r="Q9" s="81" t="s">
        <v>70</v>
      </c>
      <c r="R9" s="82" t="s">
        <v>73</v>
      </c>
      <c r="S9" s="82" t="s">
        <v>72</v>
      </c>
      <c r="T9" s="82" t="s">
        <v>56</v>
      </c>
      <c r="U9" s="83" t="s">
        <v>74</v>
      </c>
    </row>
    <row r="10" spans="2:21" ht="15" thickBot="1">
      <c r="B10" s="230"/>
      <c r="C10" s="232"/>
      <c r="D10" s="234"/>
      <c r="E10" s="29" t="s">
        <v>48</v>
      </c>
      <c r="F10" s="30" t="s">
        <v>49</v>
      </c>
      <c r="G10" s="31" t="s">
        <v>50</v>
      </c>
      <c r="H10" s="29" t="s">
        <v>48</v>
      </c>
      <c r="I10" s="30" t="s">
        <v>49</v>
      </c>
      <c r="J10" s="72" t="s">
        <v>50</v>
      </c>
      <c r="K10" s="74" t="s">
        <v>53</v>
      </c>
      <c r="L10" s="75" t="s">
        <v>55</v>
      </c>
      <c r="M10" s="181"/>
      <c r="N10" s="181"/>
      <c r="O10" s="212"/>
      <c r="P10" s="228"/>
      <c r="Q10" s="87">
        <v>8000</v>
      </c>
      <c r="R10" s="88">
        <v>7100</v>
      </c>
      <c r="S10" s="88">
        <v>11000</v>
      </c>
      <c r="T10" s="88">
        <v>4000</v>
      </c>
      <c r="U10" s="89">
        <v>10700</v>
      </c>
    </row>
    <row r="11" spans="1:21" ht="12.75">
      <c r="A11" s="211">
        <v>0</v>
      </c>
      <c r="B11" s="32">
        <f>C11-$C$11</f>
        <v>0</v>
      </c>
      <c r="C11" s="33">
        <v>1.013</v>
      </c>
      <c r="D11" s="49">
        <v>100</v>
      </c>
      <c r="E11" s="53">
        <v>419</v>
      </c>
      <c r="F11" s="54">
        <v>2257</v>
      </c>
      <c r="G11" s="55">
        <v>2676</v>
      </c>
      <c r="H11" s="53">
        <f>E11*0.24</f>
        <v>100.56</v>
      </c>
      <c r="I11" s="54">
        <f aca="true" t="shared" si="0" ref="I11:J46">F11*0.24</f>
        <v>541.68</v>
      </c>
      <c r="J11" s="55">
        <f t="shared" si="0"/>
        <v>642.24</v>
      </c>
      <c r="K11" s="73">
        <v>1665</v>
      </c>
      <c r="L11" s="76">
        <f>1/K11</f>
        <v>0.0006006006006006006</v>
      </c>
      <c r="M11" s="65">
        <f>J11/K11</f>
        <v>0.38572972972972974</v>
      </c>
      <c r="N11" s="69">
        <f>M11*$L$6</f>
        <v>964.9002768326134</v>
      </c>
      <c r="O11" s="84">
        <f>N11*60</f>
        <v>57894.0166099568</v>
      </c>
      <c r="P11" s="90">
        <f>$L$6*L11*60</f>
        <v>90.14389731246386</v>
      </c>
      <c r="Q11" s="32">
        <f>$O11/Q$10</f>
        <v>7.2367520762446</v>
      </c>
      <c r="R11" s="33">
        <f>$O11/R$10</f>
        <v>8.154086846472788</v>
      </c>
      <c r="S11" s="33">
        <f>$O11/S$10</f>
        <v>5.263092419086982</v>
      </c>
      <c r="T11" s="33">
        <f>$O11/T$10</f>
        <v>14.4735041524892</v>
      </c>
      <c r="U11" s="125">
        <f>$O11/U$10</f>
        <v>5.410655757939888</v>
      </c>
    </row>
    <row r="12" spans="1:21" ht="12.75">
      <c r="A12" s="212"/>
      <c r="B12" s="36">
        <f aca="true" t="shared" si="1" ref="B12:B46">C12-$C$11</f>
        <v>0.387</v>
      </c>
      <c r="C12" s="27">
        <v>1.4</v>
      </c>
      <c r="D12" s="50">
        <v>109</v>
      </c>
      <c r="E12" s="56">
        <v>456</v>
      </c>
      <c r="F12" s="57">
        <v>2234</v>
      </c>
      <c r="G12" s="58">
        <v>2690</v>
      </c>
      <c r="H12" s="56">
        <f aca="true" t="shared" si="2" ref="H12:H46">E12*0.24</f>
        <v>109.44</v>
      </c>
      <c r="I12" s="57">
        <f t="shared" si="0"/>
        <v>536.16</v>
      </c>
      <c r="J12" s="58">
        <f t="shared" si="0"/>
        <v>645.6</v>
      </c>
      <c r="K12" s="45">
        <v>1248</v>
      </c>
      <c r="L12" s="77">
        <f aca="true" t="shared" si="3" ref="L12:L46">1/K12</f>
        <v>0.0008012820512820513</v>
      </c>
      <c r="M12" s="66">
        <f aca="true" t="shared" si="4" ref="M12:M46">J12/K12</f>
        <v>0.5173076923076924</v>
      </c>
      <c r="N12" s="70">
        <f aca="true" t="shared" si="5" ref="N12:N46">M12*$L$6</f>
        <v>1294.0416489677207</v>
      </c>
      <c r="O12" s="85">
        <f aca="true" t="shared" si="6" ref="O12:O46">N12*60</f>
        <v>77642.49893806325</v>
      </c>
      <c r="P12" s="91">
        <f aca="true" t="shared" si="7" ref="P12:P46">$L$6*L12*60</f>
        <v>120.26409377023424</v>
      </c>
      <c r="Q12" s="36">
        <f aca="true" t="shared" si="8" ref="Q12:U27">$O12/Q$10</f>
        <v>9.705312367257905</v>
      </c>
      <c r="R12" s="27">
        <f t="shared" si="8"/>
        <v>10.935563230713134</v>
      </c>
      <c r="S12" s="27">
        <f t="shared" si="8"/>
        <v>7.058408994369386</v>
      </c>
      <c r="T12" s="27">
        <f t="shared" si="8"/>
        <v>19.41062473451581</v>
      </c>
      <c r="U12" s="126">
        <f t="shared" si="8"/>
        <v>7.256308311968528</v>
      </c>
    </row>
    <row r="13" spans="1:21" ht="13.5" thickBot="1">
      <c r="A13" s="182"/>
      <c r="B13" s="38">
        <f t="shared" si="1"/>
        <v>0.687</v>
      </c>
      <c r="C13" s="39">
        <v>1.7</v>
      </c>
      <c r="D13" s="51">
        <v>116</v>
      </c>
      <c r="E13" s="59">
        <v>485</v>
      </c>
      <c r="F13" s="60">
        <v>2215</v>
      </c>
      <c r="G13" s="61">
        <v>2700</v>
      </c>
      <c r="H13" s="59">
        <f t="shared" si="2"/>
        <v>116.39999999999999</v>
      </c>
      <c r="I13" s="60">
        <f t="shared" si="0"/>
        <v>531.6</v>
      </c>
      <c r="J13" s="61">
        <f t="shared" si="0"/>
        <v>648</v>
      </c>
      <c r="K13" s="46">
        <v>1012</v>
      </c>
      <c r="L13" s="78">
        <f t="shared" si="3"/>
        <v>0.0009881422924901185</v>
      </c>
      <c r="M13" s="67">
        <f t="shared" si="4"/>
        <v>0.6403162055335968</v>
      </c>
      <c r="N13" s="71">
        <f t="shared" si="5"/>
        <v>1601.746602245776</v>
      </c>
      <c r="O13" s="86">
        <f t="shared" si="6"/>
        <v>96104.79613474656</v>
      </c>
      <c r="P13" s="92">
        <f t="shared" si="7"/>
        <v>148.3098705783126</v>
      </c>
      <c r="Q13" s="38">
        <f t="shared" si="8"/>
        <v>12.01309951684332</v>
      </c>
      <c r="R13" s="39">
        <f t="shared" si="8"/>
        <v>13.53588677954177</v>
      </c>
      <c r="S13" s="39">
        <f t="shared" si="8"/>
        <v>8.736799648613324</v>
      </c>
      <c r="T13" s="39">
        <f t="shared" si="8"/>
        <v>24.02619903368664</v>
      </c>
      <c r="U13" s="127">
        <f t="shared" si="8"/>
        <v>8.981756648107154</v>
      </c>
    </row>
    <row r="14" spans="1:21" ht="12.75">
      <c r="A14" s="211">
        <v>1</v>
      </c>
      <c r="B14" s="32">
        <f t="shared" si="1"/>
        <v>1.0870000000000002</v>
      </c>
      <c r="C14" s="33">
        <v>2.1</v>
      </c>
      <c r="D14" s="49">
        <v>121</v>
      </c>
      <c r="E14" s="53">
        <v>500</v>
      </c>
      <c r="F14" s="54">
        <v>2199</v>
      </c>
      <c r="G14" s="55">
        <v>2709</v>
      </c>
      <c r="H14" s="53">
        <f t="shared" si="2"/>
        <v>120</v>
      </c>
      <c r="I14" s="54">
        <f t="shared" si="0"/>
        <v>527.76</v>
      </c>
      <c r="J14" s="55">
        <f t="shared" si="0"/>
        <v>650.16</v>
      </c>
      <c r="K14" s="44">
        <v>851</v>
      </c>
      <c r="L14" s="79">
        <f t="shared" si="3"/>
        <v>0.0011750881316098707</v>
      </c>
      <c r="M14" s="65">
        <f t="shared" si="4"/>
        <v>0.7639952996474735</v>
      </c>
      <c r="N14" s="69">
        <f t="shared" si="5"/>
        <v>1911.129009021897</v>
      </c>
      <c r="O14" s="84">
        <f t="shared" si="6"/>
        <v>114667.74054131382</v>
      </c>
      <c r="P14" s="90">
        <f t="shared" si="7"/>
        <v>176.36849474177714</v>
      </c>
      <c r="Q14" s="32">
        <f t="shared" si="8"/>
        <v>14.333467567664227</v>
      </c>
      <c r="R14" s="33">
        <f t="shared" si="8"/>
        <v>16.15038599173434</v>
      </c>
      <c r="S14" s="33">
        <f t="shared" si="8"/>
        <v>10.424340049210347</v>
      </c>
      <c r="T14" s="33">
        <f t="shared" si="8"/>
        <v>28.666935135328455</v>
      </c>
      <c r="U14" s="125">
        <f t="shared" si="8"/>
        <v>10.716611265543348</v>
      </c>
    </row>
    <row r="15" spans="1:21" ht="12.75">
      <c r="A15" s="212"/>
      <c r="B15" s="36">
        <f t="shared" si="1"/>
        <v>1.387</v>
      </c>
      <c r="C15" s="27">
        <v>2.4</v>
      </c>
      <c r="D15" s="50">
        <v>126</v>
      </c>
      <c r="E15" s="56">
        <v>530</v>
      </c>
      <c r="F15" s="57">
        <v>2185</v>
      </c>
      <c r="G15" s="58">
        <v>2716</v>
      </c>
      <c r="H15" s="56">
        <f t="shared" si="2"/>
        <v>127.19999999999999</v>
      </c>
      <c r="I15" s="57">
        <f t="shared" si="0"/>
        <v>524.4</v>
      </c>
      <c r="J15" s="58">
        <f t="shared" si="0"/>
        <v>651.84</v>
      </c>
      <c r="K15" s="45">
        <v>739</v>
      </c>
      <c r="L15" s="77">
        <f t="shared" si="3"/>
        <v>0.0013531799729364006</v>
      </c>
      <c r="M15" s="66">
        <f t="shared" si="4"/>
        <v>0.8820568335588633</v>
      </c>
      <c r="N15" s="70">
        <f t="shared" si="5"/>
        <v>2206.4591274294203</v>
      </c>
      <c r="O15" s="85">
        <f t="shared" si="6"/>
        <v>132387.5476457652</v>
      </c>
      <c r="P15" s="91">
        <f t="shared" si="7"/>
        <v>203.0982260152265</v>
      </c>
      <c r="Q15" s="36">
        <f t="shared" si="8"/>
        <v>16.54844345572065</v>
      </c>
      <c r="R15" s="27">
        <f t="shared" si="8"/>
        <v>18.64613347123454</v>
      </c>
      <c r="S15" s="27">
        <f t="shared" si="8"/>
        <v>12.035231604160474</v>
      </c>
      <c r="T15" s="27">
        <f t="shared" si="8"/>
        <v>33.0968869114413</v>
      </c>
      <c r="U15" s="126">
        <f t="shared" si="8"/>
        <v>12.372668004277122</v>
      </c>
    </row>
    <row r="16" spans="1:21" ht="13.5" thickBot="1">
      <c r="A16" s="182"/>
      <c r="B16" s="38">
        <f t="shared" si="1"/>
        <v>1.787</v>
      </c>
      <c r="C16" s="39">
        <v>2.8</v>
      </c>
      <c r="D16" s="51">
        <v>131</v>
      </c>
      <c r="E16" s="59">
        <v>549</v>
      </c>
      <c r="F16" s="60">
        <v>2173</v>
      </c>
      <c r="G16" s="61">
        <v>2722</v>
      </c>
      <c r="H16" s="59">
        <f t="shared" si="2"/>
        <v>131.76</v>
      </c>
      <c r="I16" s="60">
        <f t="shared" si="0"/>
        <v>521.52</v>
      </c>
      <c r="J16" s="61">
        <f t="shared" si="0"/>
        <v>653.28</v>
      </c>
      <c r="K16" s="46">
        <v>652</v>
      </c>
      <c r="L16" s="78">
        <f t="shared" si="3"/>
        <v>0.0015337423312883436</v>
      </c>
      <c r="M16" s="67">
        <f t="shared" si="4"/>
        <v>1.0019631901840491</v>
      </c>
      <c r="N16" s="71">
        <f t="shared" si="5"/>
        <v>2506.404057219245</v>
      </c>
      <c r="O16" s="86">
        <f t="shared" si="6"/>
        <v>150384.24343315468</v>
      </c>
      <c r="P16" s="92">
        <f t="shared" si="7"/>
        <v>230.19875617369993</v>
      </c>
      <c r="Q16" s="38">
        <f t="shared" si="8"/>
        <v>18.798030429144337</v>
      </c>
      <c r="R16" s="39">
        <f t="shared" si="8"/>
        <v>21.18087935678235</v>
      </c>
      <c r="S16" s="39">
        <f t="shared" si="8"/>
        <v>13.671294857559516</v>
      </c>
      <c r="T16" s="39">
        <f t="shared" si="8"/>
        <v>37.59606085828867</v>
      </c>
      <c r="U16" s="127">
        <f t="shared" si="8"/>
        <v>14.054602190014457</v>
      </c>
    </row>
    <row r="17" spans="1:21" ht="12.75">
      <c r="A17" s="211">
        <v>2</v>
      </c>
      <c r="B17" s="32">
        <f t="shared" si="1"/>
        <v>2.087</v>
      </c>
      <c r="C17" s="33">
        <v>3.1</v>
      </c>
      <c r="D17" s="49">
        <v>135</v>
      </c>
      <c r="E17" s="53">
        <v>566</v>
      </c>
      <c r="F17" s="54">
        <v>2161</v>
      </c>
      <c r="G17" s="55">
        <v>2727</v>
      </c>
      <c r="H17" s="53">
        <f t="shared" si="2"/>
        <v>135.84</v>
      </c>
      <c r="I17" s="54">
        <f t="shared" si="0"/>
        <v>518.64</v>
      </c>
      <c r="J17" s="55">
        <f t="shared" si="0"/>
        <v>654.48</v>
      </c>
      <c r="K17" s="44">
        <v>584</v>
      </c>
      <c r="L17" s="79">
        <f t="shared" si="3"/>
        <v>0.0017123287671232876</v>
      </c>
      <c r="M17" s="65">
        <f t="shared" si="4"/>
        <v>1.1206849315068494</v>
      </c>
      <c r="N17" s="69">
        <f t="shared" si="5"/>
        <v>2803.3856799442688</v>
      </c>
      <c r="O17" s="84">
        <f t="shared" si="6"/>
        <v>168203.14079665614</v>
      </c>
      <c r="P17" s="90">
        <f t="shared" si="7"/>
        <v>257.0027209336513</v>
      </c>
      <c r="Q17" s="32">
        <f t="shared" si="8"/>
        <v>21.025392599582016</v>
      </c>
      <c r="R17" s="33">
        <f t="shared" si="8"/>
        <v>23.69058321079664</v>
      </c>
      <c r="S17" s="33">
        <f t="shared" si="8"/>
        <v>15.291194617877832</v>
      </c>
      <c r="T17" s="33">
        <f t="shared" si="8"/>
        <v>42.05078519916403</v>
      </c>
      <c r="U17" s="125">
        <f t="shared" si="8"/>
        <v>15.71991970062207</v>
      </c>
    </row>
    <row r="18" spans="1:21" ht="12.75">
      <c r="A18" s="212"/>
      <c r="B18" s="36">
        <f t="shared" si="1"/>
        <v>2.387</v>
      </c>
      <c r="C18" s="27">
        <v>3.4</v>
      </c>
      <c r="D18" s="50">
        <v>138</v>
      </c>
      <c r="E18" s="56">
        <v>582</v>
      </c>
      <c r="F18" s="57">
        <v>2150</v>
      </c>
      <c r="G18" s="58">
        <v>2732</v>
      </c>
      <c r="H18" s="56">
        <f t="shared" si="2"/>
        <v>139.68</v>
      </c>
      <c r="I18" s="57">
        <f t="shared" si="0"/>
        <v>516</v>
      </c>
      <c r="J18" s="58">
        <f t="shared" si="0"/>
        <v>655.68</v>
      </c>
      <c r="K18" s="45">
        <v>529</v>
      </c>
      <c r="L18" s="77">
        <f t="shared" si="3"/>
        <v>0.001890359168241966</v>
      </c>
      <c r="M18" s="66">
        <f t="shared" si="4"/>
        <v>1.2394706994328921</v>
      </c>
      <c r="N18" s="70">
        <f t="shared" si="5"/>
        <v>3100.527464778748</v>
      </c>
      <c r="O18" s="85">
        <f t="shared" si="6"/>
        <v>186031.64788672488</v>
      </c>
      <c r="P18" s="91">
        <f t="shared" si="7"/>
        <v>283.7232306715545</v>
      </c>
      <c r="Q18" s="36">
        <f t="shared" si="8"/>
        <v>23.25395598584061</v>
      </c>
      <c r="R18" s="27">
        <f t="shared" si="8"/>
        <v>26.201640547426038</v>
      </c>
      <c r="S18" s="27">
        <f t="shared" si="8"/>
        <v>16.911967989702262</v>
      </c>
      <c r="T18" s="27">
        <f t="shared" si="8"/>
        <v>46.50791197168122</v>
      </c>
      <c r="U18" s="126">
        <f t="shared" si="8"/>
        <v>17.386135316516345</v>
      </c>
    </row>
    <row r="19" spans="1:21" ht="13.5" thickBot="1">
      <c r="A19" s="182"/>
      <c r="B19" s="38">
        <f t="shared" si="1"/>
        <v>2.787</v>
      </c>
      <c r="C19" s="39">
        <v>3.8</v>
      </c>
      <c r="D19" s="51">
        <v>142</v>
      </c>
      <c r="E19" s="59">
        <v>596</v>
      </c>
      <c r="F19" s="60">
        <v>2144</v>
      </c>
      <c r="G19" s="61">
        <v>2738</v>
      </c>
      <c r="H19" s="59">
        <f t="shared" si="2"/>
        <v>143.04</v>
      </c>
      <c r="I19" s="60">
        <f t="shared" si="0"/>
        <v>514.56</v>
      </c>
      <c r="J19" s="61">
        <f t="shared" si="0"/>
        <v>657.12</v>
      </c>
      <c r="K19" s="46">
        <v>484</v>
      </c>
      <c r="L19" s="78">
        <f t="shared" si="3"/>
        <v>0.002066115702479339</v>
      </c>
      <c r="M19" s="67">
        <f t="shared" si="4"/>
        <v>1.357685950413223</v>
      </c>
      <c r="N19" s="71">
        <f t="shared" si="5"/>
        <v>3396.24210538133</v>
      </c>
      <c r="O19" s="86">
        <f t="shared" si="6"/>
        <v>203774.5263228798</v>
      </c>
      <c r="P19" s="92">
        <f t="shared" si="7"/>
        <v>310.10245666374453</v>
      </c>
      <c r="Q19" s="38">
        <f t="shared" si="8"/>
        <v>25.471815790359976</v>
      </c>
      <c r="R19" s="39">
        <f t="shared" si="8"/>
        <v>28.70063751026476</v>
      </c>
      <c r="S19" s="39">
        <f t="shared" si="8"/>
        <v>18.52495693844362</v>
      </c>
      <c r="T19" s="39">
        <f t="shared" si="8"/>
        <v>50.94363158071995</v>
      </c>
      <c r="U19" s="127">
        <f t="shared" si="8"/>
        <v>19.044348254474748</v>
      </c>
    </row>
    <row r="20" spans="1:21" ht="12.75">
      <c r="A20" s="211">
        <v>3</v>
      </c>
      <c r="B20" s="32">
        <f t="shared" si="1"/>
        <v>3.0869999999999997</v>
      </c>
      <c r="C20" s="33">
        <v>4.1</v>
      </c>
      <c r="D20" s="49">
        <v>145</v>
      </c>
      <c r="E20" s="53">
        <v>610</v>
      </c>
      <c r="F20" s="54">
        <v>2131</v>
      </c>
      <c r="G20" s="55">
        <v>2741</v>
      </c>
      <c r="H20" s="53">
        <f t="shared" si="2"/>
        <v>146.4</v>
      </c>
      <c r="I20" s="54">
        <f t="shared" si="0"/>
        <v>511.44</v>
      </c>
      <c r="J20" s="55">
        <f t="shared" si="0"/>
        <v>657.84</v>
      </c>
      <c r="K20" s="44">
        <v>446</v>
      </c>
      <c r="L20" s="79">
        <f t="shared" si="3"/>
        <v>0.002242152466367713</v>
      </c>
      <c r="M20" s="65">
        <f t="shared" si="4"/>
        <v>1.4749775784753365</v>
      </c>
      <c r="N20" s="153">
        <f t="shared" si="5"/>
        <v>3689.6463095804193</v>
      </c>
      <c r="O20" s="154">
        <f t="shared" si="6"/>
        <v>221378.77857482515</v>
      </c>
      <c r="P20" s="90">
        <f t="shared" si="7"/>
        <v>336.523742209086</v>
      </c>
      <c r="Q20" s="32">
        <f t="shared" si="8"/>
        <v>27.672347321853145</v>
      </c>
      <c r="R20" s="33">
        <f t="shared" si="8"/>
        <v>31.180109658426076</v>
      </c>
      <c r="S20" s="33">
        <f t="shared" si="8"/>
        <v>20.125343506802285</v>
      </c>
      <c r="T20" s="33">
        <f t="shared" si="8"/>
        <v>55.34469464370629</v>
      </c>
      <c r="U20" s="125">
        <f t="shared" si="8"/>
        <v>20.689605474282725</v>
      </c>
    </row>
    <row r="21" spans="1:21" ht="12.75">
      <c r="A21" s="212"/>
      <c r="B21" s="36">
        <f t="shared" si="1"/>
        <v>3.487</v>
      </c>
      <c r="C21" s="27">
        <v>4.5</v>
      </c>
      <c r="D21" s="50">
        <v>148</v>
      </c>
      <c r="E21" s="56">
        <v>622</v>
      </c>
      <c r="F21" s="57">
        <v>2122</v>
      </c>
      <c r="G21" s="58">
        <v>2744</v>
      </c>
      <c r="H21" s="56">
        <f t="shared" si="2"/>
        <v>149.28</v>
      </c>
      <c r="I21" s="57">
        <f t="shared" si="0"/>
        <v>509.28</v>
      </c>
      <c r="J21" s="58">
        <f t="shared" si="0"/>
        <v>658.56</v>
      </c>
      <c r="K21" s="45">
        <v>414</v>
      </c>
      <c r="L21" s="77">
        <f t="shared" si="3"/>
        <v>0.0024154589371980675</v>
      </c>
      <c r="M21" s="66">
        <f t="shared" si="4"/>
        <v>1.5907246376811592</v>
      </c>
      <c r="N21" s="155">
        <f t="shared" si="5"/>
        <v>3979.1867853651443</v>
      </c>
      <c r="O21" s="156">
        <f t="shared" si="6"/>
        <v>238751.20712190866</v>
      </c>
      <c r="P21" s="91">
        <f t="shared" si="7"/>
        <v>362.5352391914308</v>
      </c>
      <c r="Q21" s="36">
        <f t="shared" si="8"/>
        <v>29.843900890238583</v>
      </c>
      <c r="R21" s="27">
        <f t="shared" si="8"/>
        <v>33.626930580550514</v>
      </c>
      <c r="S21" s="27">
        <f t="shared" si="8"/>
        <v>21.704655192900788</v>
      </c>
      <c r="T21" s="27">
        <f t="shared" si="8"/>
        <v>59.687801780477166</v>
      </c>
      <c r="U21" s="126">
        <f t="shared" si="8"/>
        <v>22.313196927281183</v>
      </c>
    </row>
    <row r="22" spans="1:21" ht="13.5" thickBot="1">
      <c r="A22" s="182"/>
      <c r="B22" s="38">
        <f t="shared" si="1"/>
        <v>3.787</v>
      </c>
      <c r="C22" s="39">
        <v>4.8</v>
      </c>
      <c r="D22" s="51">
        <v>151</v>
      </c>
      <c r="E22" s="59">
        <v>634</v>
      </c>
      <c r="F22" s="60">
        <v>2114</v>
      </c>
      <c r="G22" s="61">
        <v>2748</v>
      </c>
      <c r="H22" s="59">
        <f t="shared" si="2"/>
        <v>152.16</v>
      </c>
      <c r="I22" s="60">
        <f t="shared" si="0"/>
        <v>507.35999999999996</v>
      </c>
      <c r="J22" s="61">
        <f t="shared" si="0"/>
        <v>659.52</v>
      </c>
      <c r="K22" s="46">
        <v>386</v>
      </c>
      <c r="L22" s="78">
        <f t="shared" si="3"/>
        <v>0.0025906735751295338</v>
      </c>
      <c r="M22" s="67">
        <f t="shared" si="4"/>
        <v>1.70860103626943</v>
      </c>
      <c r="N22" s="157">
        <f t="shared" si="5"/>
        <v>4274.053789029984</v>
      </c>
      <c r="O22" s="158">
        <f t="shared" si="6"/>
        <v>256443.22734179904</v>
      </c>
      <c r="P22" s="92">
        <f t="shared" si="7"/>
        <v>388.8331321897729</v>
      </c>
      <c r="Q22" s="38">
        <f t="shared" si="8"/>
        <v>32.05540341772488</v>
      </c>
      <c r="R22" s="39">
        <f t="shared" si="8"/>
        <v>36.11876441433789</v>
      </c>
      <c r="S22" s="39">
        <f t="shared" si="8"/>
        <v>23.313020667436277</v>
      </c>
      <c r="T22" s="39">
        <f t="shared" si="8"/>
        <v>64.11080683544976</v>
      </c>
      <c r="U22" s="127">
        <f t="shared" si="8"/>
        <v>23.966656760915797</v>
      </c>
    </row>
    <row r="23" spans="1:21" ht="12.75">
      <c r="A23" s="211">
        <v>4</v>
      </c>
      <c r="B23" s="32">
        <f t="shared" si="1"/>
        <v>4.187</v>
      </c>
      <c r="C23" s="33">
        <v>5.2</v>
      </c>
      <c r="D23" s="49">
        <v>153</v>
      </c>
      <c r="E23" s="53">
        <v>645</v>
      </c>
      <c r="F23" s="54">
        <v>2106</v>
      </c>
      <c r="G23" s="55">
        <v>2751</v>
      </c>
      <c r="H23" s="53">
        <f t="shared" si="2"/>
        <v>154.79999999999998</v>
      </c>
      <c r="I23" s="54">
        <f t="shared" si="0"/>
        <v>505.44</v>
      </c>
      <c r="J23" s="55">
        <f t="shared" si="0"/>
        <v>660.24</v>
      </c>
      <c r="K23" s="44">
        <v>361</v>
      </c>
      <c r="L23" s="79">
        <f t="shared" si="3"/>
        <v>0.002770083102493075</v>
      </c>
      <c r="M23" s="65">
        <f t="shared" si="4"/>
        <v>1.8289196675900277</v>
      </c>
      <c r="N23" s="153">
        <f t="shared" si="5"/>
        <v>4575.030021146474</v>
      </c>
      <c r="O23" s="154">
        <f t="shared" si="6"/>
        <v>274501.8012687884</v>
      </c>
      <c r="P23" s="90">
        <f t="shared" si="7"/>
        <v>415.7606344189816</v>
      </c>
      <c r="Q23" s="32">
        <f t="shared" si="8"/>
        <v>34.31272515859855</v>
      </c>
      <c r="R23" s="33">
        <f t="shared" si="8"/>
        <v>38.66222553081527</v>
      </c>
      <c r="S23" s="33">
        <f t="shared" si="8"/>
        <v>24.95470920625349</v>
      </c>
      <c r="T23" s="33">
        <f t="shared" si="8"/>
        <v>68.6254503171971</v>
      </c>
      <c r="U23" s="125">
        <f t="shared" si="8"/>
        <v>25.654373950354056</v>
      </c>
    </row>
    <row r="24" spans="1:21" ht="12.75">
      <c r="A24" s="212"/>
      <c r="B24" s="36">
        <f t="shared" si="1"/>
        <v>4.487</v>
      </c>
      <c r="C24" s="27">
        <v>5.5</v>
      </c>
      <c r="D24" s="50">
        <v>156</v>
      </c>
      <c r="E24" s="56">
        <v>656</v>
      </c>
      <c r="F24" s="57">
        <v>2098</v>
      </c>
      <c r="G24" s="58">
        <v>2754</v>
      </c>
      <c r="H24" s="56">
        <f t="shared" si="2"/>
        <v>157.44</v>
      </c>
      <c r="I24" s="57">
        <f t="shared" si="0"/>
        <v>503.52</v>
      </c>
      <c r="J24" s="58">
        <f t="shared" si="0"/>
        <v>660.9599999999999</v>
      </c>
      <c r="K24" s="45">
        <v>340</v>
      </c>
      <c r="L24" s="77">
        <f t="shared" si="3"/>
        <v>0.0029411764705882353</v>
      </c>
      <c r="M24" s="66">
        <f t="shared" si="4"/>
        <v>1.9439999999999997</v>
      </c>
      <c r="N24" s="155">
        <f t="shared" si="5"/>
        <v>4862.902684418175</v>
      </c>
      <c r="O24" s="156">
        <f t="shared" si="6"/>
        <v>291774.1610650905</v>
      </c>
      <c r="P24" s="91">
        <f t="shared" si="7"/>
        <v>441.43996772133045</v>
      </c>
      <c r="Q24" s="36">
        <f t="shared" si="8"/>
        <v>36.47177013313631</v>
      </c>
      <c r="R24" s="27">
        <f t="shared" si="8"/>
        <v>41.09495226268881</v>
      </c>
      <c r="S24" s="27">
        <f t="shared" si="8"/>
        <v>26.524923733190047</v>
      </c>
      <c r="T24" s="27">
        <f t="shared" si="8"/>
        <v>72.94354026627262</v>
      </c>
      <c r="U24" s="126">
        <f t="shared" si="8"/>
        <v>27.26861318365332</v>
      </c>
    </row>
    <row r="25" spans="1:21" ht="13.5" thickBot="1">
      <c r="A25" s="182"/>
      <c r="B25" s="129">
        <f t="shared" si="1"/>
        <v>4.8870000000000005</v>
      </c>
      <c r="C25" s="130">
        <v>5.9</v>
      </c>
      <c r="D25" s="131">
        <v>158</v>
      </c>
      <c r="E25" s="132">
        <v>666</v>
      </c>
      <c r="F25" s="133">
        <v>2090</v>
      </c>
      <c r="G25" s="134">
        <v>2756</v>
      </c>
      <c r="H25" s="132">
        <f t="shared" si="2"/>
        <v>159.84</v>
      </c>
      <c r="I25" s="133">
        <f t="shared" si="0"/>
        <v>501.59999999999997</v>
      </c>
      <c r="J25" s="134">
        <f t="shared" si="0"/>
        <v>661.4399999999999</v>
      </c>
      <c r="K25" s="135">
        <v>328</v>
      </c>
      <c r="L25" s="136">
        <f t="shared" si="3"/>
        <v>0.003048780487804878</v>
      </c>
      <c r="M25" s="137">
        <f t="shared" si="4"/>
        <v>2.0165853658536586</v>
      </c>
      <c r="N25" s="132">
        <f t="shared" si="5"/>
        <v>5044.474479921896</v>
      </c>
      <c r="O25" s="138">
        <f t="shared" si="6"/>
        <v>302668.4687953138</v>
      </c>
      <c r="P25" s="139">
        <f t="shared" si="7"/>
        <v>457.5902104428426</v>
      </c>
      <c r="Q25" s="129">
        <f t="shared" si="8"/>
        <v>37.833558599414225</v>
      </c>
      <c r="R25" s="130">
        <f t="shared" si="8"/>
        <v>42.62936180215687</v>
      </c>
      <c r="S25" s="130">
        <f t="shared" si="8"/>
        <v>27.515315345028526</v>
      </c>
      <c r="T25" s="130">
        <f t="shared" si="8"/>
        <v>75.66711719882845</v>
      </c>
      <c r="U25" s="140">
        <f t="shared" si="8"/>
        <v>28.286772784608765</v>
      </c>
    </row>
    <row r="26" spans="1:21" ht="12.75">
      <c r="A26" s="211">
        <v>5</v>
      </c>
      <c r="B26" s="141">
        <f t="shared" si="1"/>
        <v>5.187</v>
      </c>
      <c r="C26" s="142">
        <v>6.2</v>
      </c>
      <c r="D26" s="143">
        <v>160</v>
      </c>
      <c r="E26" s="144">
        <v>676</v>
      </c>
      <c r="F26" s="145">
        <v>2083</v>
      </c>
      <c r="G26" s="146">
        <v>2759</v>
      </c>
      <c r="H26" s="144">
        <f t="shared" si="2"/>
        <v>162.23999999999998</v>
      </c>
      <c r="I26" s="145">
        <f t="shared" si="0"/>
        <v>499.91999999999996</v>
      </c>
      <c r="J26" s="146">
        <f t="shared" si="0"/>
        <v>662.16</v>
      </c>
      <c r="K26" s="147">
        <v>304</v>
      </c>
      <c r="L26" s="148">
        <f t="shared" si="3"/>
        <v>0.003289473684210526</v>
      </c>
      <c r="M26" s="149">
        <f t="shared" si="4"/>
        <v>2.178157894736842</v>
      </c>
      <c r="N26" s="144">
        <f t="shared" si="5"/>
        <v>5448.647054219358</v>
      </c>
      <c r="O26" s="150">
        <f t="shared" si="6"/>
        <v>326918.8232531615</v>
      </c>
      <c r="P26" s="151">
        <f t="shared" si="7"/>
        <v>493.71575337254063</v>
      </c>
      <c r="Q26" s="141">
        <f t="shared" si="8"/>
        <v>40.86485290664519</v>
      </c>
      <c r="R26" s="142">
        <f t="shared" si="8"/>
        <v>46.044904683543876</v>
      </c>
      <c r="S26" s="142">
        <f t="shared" si="8"/>
        <v>29.71989302301468</v>
      </c>
      <c r="T26" s="142">
        <f t="shared" si="8"/>
        <v>81.72970581329038</v>
      </c>
      <c r="U26" s="152">
        <f t="shared" si="8"/>
        <v>30.553161051697337</v>
      </c>
    </row>
    <row r="27" spans="1:21" ht="12.75">
      <c r="A27" s="212"/>
      <c r="B27" s="36">
        <f t="shared" si="1"/>
        <v>5.587</v>
      </c>
      <c r="C27" s="27">
        <v>6.6</v>
      </c>
      <c r="D27" s="50">
        <v>162</v>
      </c>
      <c r="E27" s="56">
        <v>685</v>
      </c>
      <c r="F27" s="57">
        <v>2076</v>
      </c>
      <c r="G27" s="58">
        <v>2761</v>
      </c>
      <c r="H27" s="56">
        <f t="shared" si="2"/>
        <v>164.4</v>
      </c>
      <c r="I27" s="57">
        <f t="shared" si="0"/>
        <v>498.24</v>
      </c>
      <c r="J27" s="58">
        <f t="shared" si="0"/>
        <v>662.64</v>
      </c>
      <c r="K27" s="45">
        <v>289</v>
      </c>
      <c r="L27" s="77">
        <f t="shared" si="3"/>
        <v>0.0034602076124567475</v>
      </c>
      <c r="M27" s="66">
        <f t="shared" si="4"/>
        <v>2.292871972318339</v>
      </c>
      <c r="N27" s="155">
        <f t="shared" si="5"/>
        <v>5735.603533546322</v>
      </c>
      <c r="O27" s="156">
        <f t="shared" si="6"/>
        <v>344136.2120127793</v>
      </c>
      <c r="P27" s="91">
        <f t="shared" si="7"/>
        <v>519.3411384956829</v>
      </c>
      <c r="Q27" s="36">
        <f t="shared" si="8"/>
        <v>43.017026501597414</v>
      </c>
      <c r="R27" s="27">
        <f t="shared" si="8"/>
        <v>48.46988901588441</v>
      </c>
      <c r="S27" s="27">
        <f t="shared" si="8"/>
        <v>31.28511018297994</v>
      </c>
      <c r="T27" s="27">
        <f t="shared" si="8"/>
        <v>86.03405300319483</v>
      </c>
      <c r="U27" s="126">
        <f t="shared" si="8"/>
        <v>32.162262804932645</v>
      </c>
    </row>
    <row r="28" spans="1:21" ht="13.5" thickBot="1">
      <c r="A28" s="182"/>
      <c r="B28" s="38">
        <f t="shared" si="1"/>
        <v>5.8870000000000005</v>
      </c>
      <c r="C28" s="39">
        <v>6.9</v>
      </c>
      <c r="D28" s="51">
        <v>164</v>
      </c>
      <c r="E28" s="59">
        <v>694</v>
      </c>
      <c r="F28" s="60">
        <v>2069</v>
      </c>
      <c r="G28" s="61">
        <v>2763</v>
      </c>
      <c r="H28" s="59">
        <f t="shared" si="2"/>
        <v>166.56</v>
      </c>
      <c r="I28" s="60">
        <f t="shared" si="0"/>
        <v>496.56</v>
      </c>
      <c r="J28" s="61">
        <f t="shared" si="0"/>
        <v>663.12</v>
      </c>
      <c r="K28" s="46">
        <v>275</v>
      </c>
      <c r="L28" s="78">
        <f t="shared" si="3"/>
        <v>0.0036363636363636364</v>
      </c>
      <c r="M28" s="67">
        <f t="shared" si="4"/>
        <v>2.4113454545454545</v>
      </c>
      <c r="N28" s="157">
        <f t="shared" si="5"/>
        <v>6031.96413784396</v>
      </c>
      <c r="O28" s="158">
        <f t="shared" si="6"/>
        <v>361917.8482706376</v>
      </c>
      <c r="P28" s="92">
        <f t="shared" si="7"/>
        <v>545.7803237281904</v>
      </c>
      <c r="Q28" s="38">
        <f aca="true" t="shared" si="9" ref="Q28:U43">$O28/Q$10</f>
        <v>45.239731033829706</v>
      </c>
      <c r="R28" s="39">
        <f t="shared" si="9"/>
        <v>50.97434482685037</v>
      </c>
      <c r="S28" s="39">
        <f t="shared" si="9"/>
        <v>32.90162257005797</v>
      </c>
      <c r="T28" s="39">
        <f t="shared" si="9"/>
        <v>90.47946206765941</v>
      </c>
      <c r="U28" s="127">
        <f t="shared" si="9"/>
        <v>33.82409796921847</v>
      </c>
    </row>
    <row r="29" spans="1:21" ht="12.75">
      <c r="A29" s="211">
        <v>6</v>
      </c>
      <c r="B29" s="32">
        <f t="shared" si="1"/>
        <v>6.187</v>
      </c>
      <c r="C29" s="33">
        <v>7.2</v>
      </c>
      <c r="D29" s="49">
        <v>166</v>
      </c>
      <c r="E29" s="53">
        <v>703</v>
      </c>
      <c r="F29" s="54">
        <v>2063</v>
      </c>
      <c r="G29" s="55">
        <v>2766</v>
      </c>
      <c r="H29" s="53">
        <f t="shared" si="2"/>
        <v>168.72</v>
      </c>
      <c r="I29" s="54">
        <f t="shared" si="0"/>
        <v>495.12</v>
      </c>
      <c r="J29" s="55">
        <f t="shared" si="0"/>
        <v>663.84</v>
      </c>
      <c r="K29" s="44">
        <v>263</v>
      </c>
      <c r="L29" s="79">
        <f t="shared" si="3"/>
        <v>0.0038022813688212928</v>
      </c>
      <c r="M29" s="65">
        <f t="shared" si="4"/>
        <v>2.524106463878327</v>
      </c>
      <c r="N29" s="153">
        <f t="shared" si="5"/>
        <v>6314.035030324685</v>
      </c>
      <c r="O29" s="154">
        <f t="shared" si="6"/>
        <v>378842.1018194811</v>
      </c>
      <c r="P29" s="90">
        <f t="shared" si="7"/>
        <v>570.6828480047618</v>
      </c>
      <c r="Q29" s="32">
        <f t="shared" si="9"/>
        <v>47.35526272743514</v>
      </c>
      <c r="R29" s="33">
        <f t="shared" si="9"/>
        <v>53.358042509786074</v>
      </c>
      <c r="S29" s="33">
        <f t="shared" si="9"/>
        <v>34.44019107449828</v>
      </c>
      <c r="T29" s="33">
        <f t="shared" si="9"/>
        <v>94.71052545487028</v>
      </c>
      <c r="U29" s="125">
        <f t="shared" si="9"/>
        <v>35.40580390836272</v>
      </c>
    </row>
    <row r="30" spans="1:21" ht="12.75">
      <c r="A30" s="212"/>
      <c r="B30" s="36">
        <f t="shared" si="1"/>
        <v>6.587</v>
      </c>
      <c r="C30" s="27">
        <v>7.6</v>
      </c>
      <c r="D30" s="50">
        <v>168</v>
      </c>
      <c r="E30" s="56">
        <v>711</v>
      </c>
      <c r="F30" s="57">
        <v>2056</v>
      </c>
      <c r="G30" s="58">
        <v>2767</v>
      </c>
      <c r="H30" s="56">
        <f t="shared" si="2"/>
        <v>170.64</v>
      </c>
      <c r="I30" s="57">
        <f t="shared" si="0"/>
        <v>493.44</v>
      </c>
      <c r="J30" s="58">
        <f t="shared" si="0"/>
        <v>664.0799999999999</v>
      </c>
      <c r="K30" s="45">
        <v>252</v>
      </c>
      <c r="L30" s="77">
        <f t="shared" si="3"/>
        <v>0.003968253968253968</v>
      </c>
      <c r="M30" s="66">
        <f t="shared" si="4"/>
        <v>2.635238095238095</v>
      </c>
      <c r="N30" s="155">
        <f t="shared" si="5"/>
        <v>6592.030044966242</v>
      </c>
      <c r="O30" s="156">
        <f t="shared" si="6"/>
        <v>395521.8026979745</v>
      </c>
      <c r="P30" s="91">
        <f t="shared" si="7"/>
        <v>595.5936072430649</v>
      </c>
      <c r="Q30" s="36">
        <f t="shared" si="9"/>
        <v>49.44022533724681</v>
      </c>
      <c r="R30" s="27">
        <f t="shared" si="9"/>
        <v>55.7072961546443</v>
      </c>
      <c r="S30" s="27">
        <f t="shared" si="9"/>
        <v>35.95652751799768</v>
      </c>
      <c r="T30" s="27">
        <f t="shared" si="9"/>
        <v>98.88045067449362</v>
      </c>
      <c r="U30" s="126">
        <f t="shared" si="9"/>
        <v>36.96465445775463</v>
      </c>
    </row>
    <row r="31" spans="1:21" ht="13.5" thickBot="1">
      <c r="A31" s="182"/>
      <c r="B31" s="38">
        <f t="shared" si="1"/>
        <v>6.8870000000000005</v>
      </c>
      <c r="C31" s="39">
        <v>7.9</v>
      </c>
      <c r="D31" s="51">
        <v>170</v>
      </c>
      <c r="E31" s="59">
        <v>719</v>
      </c>
      <c r="F31" s="60">
        <v>2050</v>
      </c>
      <c r="G31" s="61">
        <v>2769</v>
      </c>
      <c r="H31" s="59">
        <f t="shared" si="2"/>
        <v>172.56</v>
      </c>
      <c r="I31" s="60">
        <f t="shared" si="0"/>
        <v>492</v>
      </c>
      <c r="J31" s="61">
        <f t="shared" si="0"/>
        <v>664.56</v>
      </c>
      <c r="K31" s="46">
        <v>241</v>
      </c>
      <c r="L31" s="78">
        <f t="shared" si="3"/>
        <v>0.004149377593360996</v>
      </c>
      <c r="M31" s="67">
        <f t="shared" si="4"/>
        <v>2.757510373443983</v>
      </c>
      <c r="N31" s="157">
        <f t="shared" si="5"/>
        <v>6897.893311384626</v>
      </c>
      <c r="O31" s="158">
        <f t="shared" si="6"/>
        <v>413873.59868307755</v>
      </c>
      <c r="P31" s="92">
        <f t="shared" si="7"/>
        <v>622.7783776981425</v>
      </c>
      <c r="Q31" s="38">
        <f t="shared" si="9"/>
        <v>51.73419983538469</v>
      </c>
      <c r="R31" s="39">
        <f t="shared" si="9"/>
        <v>58.29205615254613</v>
      </c>
      <c r="S31" s="39">
        <f t="shared" si="9"/>
        <v>37.624872607552504</v>
      </c>
      <c r="T31" s="39">
        <f t="shared" si="9"/>
        <v>103.46839967076939</v>
      </c>
      <c r="U31" s="127">
        <f t="shared" si="9"/>
        <v>38.67977557785772</v>
      </c>
    </row>
    <row r="32" spans="1:21" ht="12.75">
      <c r="A32" s="211">
        <v>7</v>
      </c>
      <c r="B32" s="32">
        <f t="shared" si="1"/>
        <v>7.287000000000001</v>
      </c>
      <c r="C32" s="33">
        <v>8.3</v>
      </c>
      <c r="D32" s="49">
        <v>172</v>
      </c>
      <c r="E32" s="53">
        <v>727</v>
      </c>
      <c r="F32" s="54">
        <v>2044</v>
      </c>
      <c r="G32" s="55">
        <v>2771</v>
      </c>
      <c r="H32" s="53">
        <f t="shared" si="2"/>
        <v>174.48</v>
      </c>
      <c r="I32" s="54">
        <f t="shared" si="0"/>
        <v>490.56</v>
      </c>
      <c r="J32" s="55">
        <f t="shared" si="0"/>
        <v>665.04</v>
      </c>
      <c r="K32" s="44">
        <v>232</v>
      </c>
      <c r="L32" s="79">
        <f t="shared" si="3"/>
        <v>0.004310344827586207</v>
      </c>
      <c r="M32" s="65">
        <f t="shared" si="4"/>
        <v>2.866551724137931</v>
      </c>
      <c r="N32" s="153">
        <f t="shared" si="5"/>
        <v>7170.659503258176</v>
      </c>
      <c r="O32" s="154">
        <f t="shared" si="6"/>
        <v>430239.57019549055</v>
      </c>
      <c r="P32" s="90">
        <f t="shared" si="7"/>
        <v>646.937883729536</v>
      </c>
      <c r="Q32" s="32">
        <f t="shared" si="9"/>
        <v>53.77994627443632</v>
      </c>
      <c r="R32" s="33">
        <f t="shared" si="9"/>
        <v>60.59712256274515</v>
      </c>
      <c r="S32" s="33">
        <f t="shared" si="9"/>
        <v>39.11268819959005</v>
      </c>
      <c r="T32" s="33">
        <f t="shared" si="9"/>
        <v>107.55989254887264</v>
      </c>
      <c r="U32" s="125">
        <f t="shared" si="9"/>
        <v>40.20930562574678</v>
      </c>
    </row>
    <row r="33" spans="1:21" ht="12.75">
      <c r="A33" s="212"/>
      <c r="B33" s="36">
        <f t="shared" si="1"/>
        <v>7.587</v>
      </c>
      <c r="C33" s="27">
        <v>8.6</v>
      </c>
      <c r="D33" s="50">
        <v>174</v>
      </c>
      <c r="E33" s="56">
        <v>734</v>
      </c>
      <c r="F33" s="57">
        <v>2038</v>
      </c>
      <c r="G33" s="58">
        <v>2773</v>
      </c>
      <c r="H33" s="56">
        <f t="shared" si="2"/>
        <v>176.16</v>
      </c>
      <c r="I33" s="57">
        <f t="shared" si="0"/>
        <v>489.12</v>
      </c>
      <c r="J33" s="58">
        <f t="shared" si="0"/>
        <v>665.52</v>
      </c>
      <c r="K33" s="45">
        <v>223</v>
      </c>
      <c r="L33" s="77">
        <f t="shared" si="3"/>
        <v>0.004484304932735426</v>
      </c>
      <c r="M33" s="66">
        <f t="shared" si="4"/>
        <v>2.9843946188340804</v>
      </c>
      <c r="N33" s="155">
        <f t="shared" si="5"/>
        <v>7465.442697166363</v>
      </c>
      <c r="O33" s="156">
        <f t="shared" si="6"/>
        <v>447926.5618299818</v>
      </c>
      <c r="P33" s="91">
        <f t="shared" si="7"/>
        <v>673.047484418172</v>
      </c>
      <c r="Q33" s="36">
        <f t="shared" si="9"/>
        <v>55.99082022874772</v>
      </c>
      <c r="R33" s="27">
        <f t="shared" si="9"/>
        <v>63.08824814506786</v>
      </c>
      <c r="S33" s="27">
        <f t="shared" si="9"/>
        <v>40.720596529998346</v>
      </c>
      <c r="T33" s="27">
        <f t="shared" si="9"/>
        <v>111.98164045749544</v>
      </c>
      <c r="U33" s="126">
        <f t="shared" si="9"/>
        <v>41.86229549812914</v>
      </c>
    </row>
    <row r="34" spans="1:21" ht="13.5" thickBot="1">
      <c r="A34" s="182"/>
      <c r="B34" s="38">
        <f t="shared" si="1"/>
        <v>7.987</v>
      </c>
      <c r="C34" s="39">
        <v>9</v>
      </c>
      <c r="D34" s="51">
        <v>175</v>
      </c>
      <c r="E34" s="59">
        <v>741</v>
      </c>
      <c r="F34" s="60">
        <v>2033</v>
      </c>
      <c r="G34" s="61">
        <v>2774</v>
      </c>
      <c r="H34" s="59">
        <f t="shared" si="2"/>
        <v>177.84</v>
      </c>
      <c r="I34" s="60">
        <f t="shared" si="0"/>
        <v>487.91999999999996</v>
      </c>
      <c r="J34" s="61">
        <f t="shared" si="0"/>
        <v>665.76</v>
      </c>
      <c r="K34" s="46">
        <v>215</v>
      </c>
      <c r="L34" s="78">
        <f t="shared" si="3"/>
        <v>0.004651162790697674</v>
      </c>
      <c r="M34" s="67">
        <f t="shared" si="4"/>
        <v>3.0965581395348836</v>
      </c>
      <c r="N34" s="157">
        <f t="shared" si="5"/>
        <v>7746.018975926512</v>
      </c>
      <c r="O34" s="158">
        <f t="shared" si="6"/>
        <v>464761.13855559076</v>
      </c>
      <c r="P34" s="92">
        <f t="shared" si="7"/>
        <v>698.0911117453597</v>
      </c>
      <c r="Q34" s="38">
        <f t="shared" si="9"/>
        <v>58.09514231944885</v>
      </c>
      <c r="R34" s="39">
        <f t="shared" si="9"/>
        <v>65.45931528951982</v>
      </c>
      <c r="S34" s="39">
        <f t="shared" si="9"/>
        <v>42.2510125959628</v>
      </c>
      <c r="T34" s="39">
        <f t="shared" si="9"/>
        <v>116.1902846388977</v>
      </c>
      <c r="U34" s="127">
        <f t="shared" si="9"/>
        <v>43.43562042575615</v>
      </c>
    </row>
    <row r="35" spans="1:21" ht="12.75">
      <c r="A35" s="211">
        <v>8</v>
      </c>
      <c r="B35" s="32">
        <f t="shared" si="1"/>
        <v>8.287</v>
      </c>
      <c r="C35" s="33">
        <v>9.3</v>
      </c>
      <c r="D35" s="49">
        <v>177</v>
      </c>
      <c r="E35" s="53">
        <v>749</v>
      </c>
      <c r="F35" s="54">
        <v>2027</v>
      </c>
      <c r="G35" s="55">
        <v>2776</v>
      </c>
      <c r="H35" s="53">
        <f t="shared" si="2"/>
        <v>179.76</v>
      </c>
      <c r="I35" s="54">
        <f t="shared" si="0"/>
        <v>486.47999999999996</v>
      </c>
      <c r="J35" s="55">
        <f t="shared" si="0"/>
        <v>666.24</v>
      </c>
      <c r="K35" s="44">
        <v>207</v>
      </c>
      <c r="L35" s="79">
        <f t="shared" si="3"/>
        <v>0.004830917874396135</v>
      </c>
      <c r="M35" s="65">
        <f t="shared" si="4"/>
        <v>3.218550724637681</v>
      </c>
      <c r="N35" s="153">
        <f t="shared" si="5"/>
        <v>8051.182591963295</v>
      </c>
      <c r="O35" s="154">
        <f t="shared" si="6"/>
        <v>483070.9555177977</v>
      </c>
      <c r="P35" s="90">
        <f t="shared" si="7"/>
        <v>725.0704783828616</v>
      </c>
      <c r="Q35" s="32">
        <f t="shared" si="9"/>
        <v>60.38386943972471</v>
      </c>
      <c r="R35" s="33">
        <f t="shared" si="9"/>
        <v>68.03816274898558</v>
      </c>
      <c r="S35" s="33">
        <f t="shared" si="9"/>
        <v>43.915541410708876</v>
      </c>
      <c r="T35" s="33">
        <f t="shared" si="9"/>
        <v>120.76773887944942</v>
      </c>
      <c r="U35" s="125">
        <f t="shared" si="9"/>
        <v>45.14681827269137</v>
      </c>
    </row>
    <row r="36" spans="1:21" ht="12.75">
      <c r="A36" s="212"/>
      <c r="B36" s="36">
        <f t="shared" si="1"/>
        <v>8.687</v>
      </c>
      <c r="C36" s="27">
        <v>9.7</v>
      </c>
      <c r="D36" s="50">
        <v>178</v>
      </c>
      <c r="E36" s="56">
        <v>756</v>
      </c>
      <c r="F36" s="57">
        <v>2021</v>
      </c>
      <c r="G36" s="58">
        <v>2777</v>
      </c>
      <c r="H36" s="56">
        <f t="shared" si="2"/>
        <v>181.44</v>
      </c>
      <c r="I36" s="57">
        <f t="shared" si="0"/>
        <v>485.03999999999996</v>
      </c>
      <c r="J36" s="58">
        <f t="shared" si="0"/>
        <v>666.48</v>
      </c>
      <c r="K36" s="45">
        <v>200</v>
      </c>
      <c r="L36" s="77">
        <f t="shared" si="3"/>
        <v>0.005</v>
      </c>
      <c r="M36" s="66">
        <f t="shared" si="4"/>
        <v>3.3324000000000003</v>
      </c>
      <c r="N36" s="155">
        <f t="shared" si="5"/>
        <v>8335.975774462517</v>
      </c>
      <c r="O36" s="156">
        <f t="shared" si="6"/>
        <v>500158.54646775103</v>
      </c>
      <c r="P36" s="91">
        <f t="shared" si="7"/>
        <v>750.4479451262617</v>
      </c>
      <c r="Q36" s="36">
        <f t="shared" si="9"/>
        <v>62.51981830846888</v>
      </c>
      <c r="R36" s="27">
        <f t="shared" si="9"/>
        <v>70.44486569968325</v>
      </c>
      <c r="S36" s="27">
        <f t="shared" si="9"/>
        <v>45.46895876979555</v>
      </c>
      <c r="T36" s="27">
        <f t="shared" si="9"/>
        <v>125.03963661693776</v>
      </c>
      <c r="U36" s="126">
        <f t="shared" si="9"/>
        <v>46.743789389509445</v>
      </c>
    </row>
    <row r="37" spans="1:21" ht="13.5" thickBot="1">
      <c r="A37" s="182"/>
      <c r="B37" s="38">
        <f t="shared" si="1"/>
        <v>8.987</v>
      </c>
      <c r="C37" s="39">
        <v>10</v>
      </c>
      <c r="D37" s="51">
        <v>180</v>
      </c>
      <c r="E37" s="59">
        <v>762</v>
      </c>
      <c r="F37" s="60">
        <v>2016</v>
      </c>
      <c r="G37" s="61">
        <v>2778</v>
      </c>
      <c r="H37" s="59">
        <f t="shared" si="2"/>
        <v>182.88</v>
      </c>
      <c r="I37" s="60">
        <f t="shared" si="0"/>
        <v>483.84</v>
      </c>
      <c r="J37" s="61">
        <f t="shared" si="0"/>
        <v>666.72</v>
      </c>
      <c r="K37" s="46">
        <v>194</v>
      </c>
      <c r="L37" s="78">
        <f t="shared" si="3"/>
        <v>0.005154639175257732</v>
      </c>
      <c r="M37" s="67">
        <f t="shared" si="4"/>
        <v>3.436701030927835</v>
      </c>
      <c r="N37" s="157">
        <f t="shared" si="5"/>
        <v>8596.88408891033</v>
      </c>
      <c r="O37" s="158">
        <f t="shared" si="6"/>
        <v>515813.0453346198</v>
      </c>
      <c r="P37" s="92">
        <f t="shared" si="7"/>
        <v>773.6576753878987</v>
      </c>
      <c r="Q37" s="38">
        <f t="shared" si="9"/>
        <v>64.47663066682748</v>
      </c>
      <c r="R37" s="39">
        <f t="shared" si="9"/>
        <v>72.64972469501687</v>
      </c>
      <c r="S37" s="39">
        <f t="shared" si="9"/>
        <v>46.89209503041998</v>
      </c>
      <c r="T37" s="39">
        <f t="shared" si="9"/>
        <v>128.95326133365495</v>
      </c>
      <c r="U37" s="127">
        <f t="shared" si="9"/>
        <v>48.2068266667869</v>
      </c>
    </row>
    <row r="38" spans="1:21" ht="12.75">
      <c r="A38" s="211">
        <v>9</v>
      </c>
      <c r="B38" s="32">
        <f t="shared" si="1"/>
        <v>9.287</v>
      </c>
      <c r="C38" s="33">
        <v>10.3</v>
      </c>
      <c r="D38" s="49">
        <v>181</v>
      </c>
      <c r="E38" s="53">
        <v>769</v>
      </c>
      <c r="F38" s="54">
        <v>2011</v>
      </c>
      <c r="G38" s="55">
        <v>2780</v>
      </c>
      <c r="H38" s="53">
        <f t="shared" si="2"/>
        <v>184.56</v>
      </c>
      <c r="I38" s="54">
        <f t="shared" si="0"/>
        <v>482.64</v>
      </c>
      <c r="J38" s="55">
        <f t="shared" si="0"/>
        <v>667.1999999999999</v>
      </c>
      <c r="K38" s="44">
        <v>188</v>
      </c>
      <c r="L38" s="79">
        <f t="shared" si="3"/>
        <v>0.005319148936170213</v>
      </c>
      <c r="M38" s="65">
        <f t="shared" si="4"/>
        <v>3.5489361702127655</v>
      </c>
      <c r="N38" s="153">
        <f t="shared" si="5"/>
        <v>8877.639521068117</v>
      </c>
      <c r="O38" s="154">
        <f t="shared" si="6"/>
        <v>532658.371264087</v>
      </c>
      <c r="P38" s="90">
        <f t="shared" si="7"/>
        <v>798.3488777938954</v>
      </c>
      <c r="Q38" s="32">
        <f t="shared" si="9"/>
        <v>66.58229640801088</v>
      </c>
      <c r="R38" s="33">
        <f t="shared" si="9"/>
        <v>75.02230581184324</v>
      </c>
      <c r="S38" s="33">
        <f t="shared" si="9"/>
        <v>48.42348829673519</v>
      </c>
      <c r="T38" s="33">
        <f t="shared" si="9"/>
        <v>133.16459281602175</v>
      </c>
      <c r="U38" s="125">
        <f t="shared" si="9"/>
        <v>49.78115619290533</v>
      </c>
    </row>
    <row r="39" spans="1:21" ht="12.75">
      <c r="A39" s="212"/>
      <c r="B39" s="36">
        <f t="shared" si="1"/>
        <v>9.687</v>
      </c>
      <c r="C39" s="27">
        <v>10.7</v>
      </c>
      <c r="D39" s="50">
        <v>183</v>
      </c>
      <c r="E39" s="56">
        <v>775</v>
      </c>
      <c r="F39" s="57">
        <v>2006</v>
      </c>
      <c r="G39" s="58">
        <v>2781</v>
      </c>
      <c r="H39" s="56">
        <f t="shared" si="2"/>
        <v>186</v>
      </c>
      <c r="I39" s="57">
        <f t="shared" si="0"/>
        <v>481.44</v>
      </c>
      <c r="J39" s="58">
        <f t="shared" si="0"/>
        <v>667.4399999999999</v>
      </c>
      <c r="K39" s="45">
        <v>181</v>
      </c>
      <c r="L39" s="77">
        <f t="shared" si="3"/>
        <v>0.0055248618784530384</v>
      </c>
      <c r="M39" s="66">
        <f t="shared" si="4"/>
        <v>3.687513812154696</v>
      </c>
      <c r="N39" s="155">
        <f t="shared" si="5"/>
        <v>9224.290543187331</v>
      </c>
      <c r="O39" s="156">
        <f t="shared" si="6"/>
        <v>553457.4325912399</v>
      </c>
      <c r="P39" s="91">
        <f t="shared" si="7"/>
        <v>829.2242487583002</v>
      </c>
      <c r="Q39" s="36">
        <f t="shared" si="9"/>
        <v>69.18217907390499</v>
      </c>
      <c r="R39" s="27">
        <f t="shared" si="9"/>
        <v>77.95175106918872</v>
      </c>
      <c r="S39" s="27">
        <f t="shared" si="9"/>
        <v>50.314312053749084</v>
      </c>
      <c r="T39" s="27">
        <f t="shared" si="9"/>
        <v>138.36435814780998</v>
      </c>
      <c r="U39" s="126">
        <f t="shared" si="9"/>
        <v>51.72499370011588</v>
      </c>
    </row>
    <row r="40" spans="1:21" ht="13.5" thickBot="1">
      <c r="A40" s="182"/>
      <c r="B40" s="38">
        <f t="shared" si="1"/>
        <v>9.987</v>
      </c>
      <c r="C40" s="39">
        <v>11</v>
      </c>
      <c r="D40" s="51">
        <v>184</v>
      </c>
      <c r="E40" s="59">
        <v>781</v>
      </c>
      <c r="F40" s="60">
        <v>2001</v>
      </c>
      <c r="G40" s="61">
        <v>2782</v>
      </c>
      <c r="H40" s="59">
        <f t="shared" si="2"/>
        <v>187.44</v>
      </c>
      <c r="I40" s="60">
        <f t="shared" si="0"/>
        <v>480.24</v>
      </c>
      <c r="J40" s="61">
        <f t="shared" si="0"/>
        <v>667.68</v>
      </c>
      <c r="K40" s="46">
        <v>176</v>
      </c>
      <c r="L40" s="78">
        <f t="shared" si="3"/>
        <v>0.005681818181818182</v>
      </c>
      <c r="M40" s="67">
        <f t="shared" si="4"/>
        <v>3.7936363636363635</v>
      </c>
      <c r="N40" s="157">
        <f t="shared" si="5"/>
        <v>9489.75537882391</v>
      </c>
      <c r="O40" s="158">
        <f t="shared" si="6"/>
        <v>569385.3227294346</v>
      </c>
      <c r="P40" s="92">
        <f t="shared" si="7"/>
        <v>852.7817558252975</v>
      </c>
      <c r="Q40" s="38">
        <f t="shared" si="9"/>
        <v>71.17316534117933</v>
      </c>
      <c r="R40" s="39">
        <f t="shared" si="9"/>
        <v>80.19511587738515</v>
      </c>
      <c r="S40" s="39">
        <f t="shared" si="9"/>
        <v>51.76230206631224</v>
      </c>
      <c r="T40" s="39">
        <f t="shared" si="9"/>
        <v>142.34633068235865</v>
      </c>
      <c r="U40" s="127">
        <f t="shared" si="9"/>
        <v>53.21358156349856</v>
      </c>
    </row>
    <row r="41" spans="1:21" ht="13.5" thickBot="1">
      <c r="A41" s="48">
        <v>10</v>
      </c>
      <c r="B41" s="42">
        <f t="shared" si="1"/>
        <v>10.287</v>
      </c>
      <c r="C41" s="43">
        <v>11.3</v>
      </c>
      <c r="D41" s="52">
        <v>186</v>
      </c>
      <c r="E41" s="62">
        <v>787</v>
      </c>
      <c r="F41" s="63">
        <v>1996</v>
      </c>
      <c r="G41" s="64">
        <v>2783</v>
      </c>
      <c r="H41" s="62">
        <f t="shared" si="2"/>
        <v>188.88</v>
      </c>
      <c r="I41" s="63">
        <f t="shared" si="0"/>
        <v>479.03999999999996</v>
      </c>
      <c r="J41" s="64">
        <f t="shared" si="0"/>
        <v>667.92</v>
      </c>
      <c r="K41" s="47">
        <v>171</v>
      </c>
      <c r="L41" s="80">
        <f t="shared" si="3"/>
        <v>0.005847953216374269</v>
      </c>
      <c r="M41" s="68">
        <f t="shared" si="4"/>
        <v>3.9059649122807016</v>
      </c>
      <c r="N41" s="159">
        <f t="shared" si="5"/>
        <v>9770.74447385444</v>
      </c>
      <c r="O41" s="160">
        <f t="shared" si="6"/>
        <v>586244.6684312664</v>
      </c>
      <c r="P41" s="93">
        <f t="shared" si="7"/>
        <v>877.7168948845166</v>
      </c>
      <c r="Q41" s="42">
        <f t="shared" si="9"/>
        <v>73.2805835539083</v>
      </c>
      <c r="R41" s="43">
        <f t="shared" si="9"/>
        <v>82.56967161003753</v>
      </c>
      <c r="S41" s="43">
        <f t="shared" si="9"/>
        <v>53.29496985738786</v>
      </c>
      <c r="T41" s="43">
        <f t="shared" si="9"/>
        <v>146.5611671078166</v>
      </c>
      <c r="U41" s="128">
        <f t="shared" si="9"/>
        <v>54.78922134871649</v>
      </c>
    </row>
    <row r="42" spans="1:21" ht="12.75">
      <c r="A42" s="211">
        <v>11</v>
      </c>
      <c r="B42" s="32">
        <f t="shared" si="1"/>
        <v>11.087</v>
      </c>
      <c r="C42" s="33">
        <v>12.1</v>
      </c>
      <c r="D42" s="49">
        <v>188</v>
      </c>
      <c r="E42" s="53">
        <v>799</v>
      </c>
      <c r="F42" s="54">
        <v>1986</v>
      </c>
      <c r="G42" s="55">
        <v>2785</v>
      </c>
      <c r="H42" s="53">
        <f t="shared" si="2"/>
        <v>191.76</v>
      </c>
      <c r="I42" s="54">
        <f t="shared" si="0"/>
        <v>476.64</v>
      </c>
      <c r="J42" s="55">
        <f t="shared" si="0"/>
        <v>668.4</v>
      </c>
      <c r="K42" s="44">
        <v>161</v>
      </c>
      <c r="L42" s="79">
        <f t="shared" si="3"/>
        <v>0.006211180124223602</v>
      </c>
      <c r="M42" s="65">
        <f t="shared" si="4"/>
        <v>4.151552795031056</v>
      </c>
      <c r="N42" s="153">
        <f t="shared" si="5"/>
        <v>10385.080880380814</v>
      </c>
      <c r="O42" s="154">
        <f t="shared" si="6"/>
        <v>623104.8528228488</v>
      </c>
      <c r="P42" s="90">
        <f t="shared" si="7"/>
        <v>932.2334722065364</v>
      </c>
      <c r="Q42" s="32">
        <f t="shared" si="9"/>
        <v>77.8881066028561</v>
      </c>
      <c r="R42" s="33">
        <f t="shared" si="9"/>
        <v>87.76124687645758</v>
      </c>
      <c r="S42" s="33">
        <f t="shared" si="9"/>
        <v>56.64589571116807</v>
      </c>
      <c r="T42" s="33">
        <f t="shared" si="9"/>
        <v>155.7762132057122</v>
      </c>
      <c r="U42" s="125">
        <f t="shared" si="9"/>
        <v>58.234098394658766</v>
      </c>
    </row>
    <row r="43" spans="1:21" ht="13.5" thickBot="1">
      <c r="A43" s="182"/>
      <c r="B43" s="38">
        <f t="shared" si="1"/>
        <v>11.787</v>
      </c>
      <c r="C43" s="39">
        <v>12.8</v>
      </c>
      <c r="D43" s="51">
        <v>191</v>
      </c>
      <c r="E43" s="59">
        <v>811</v>
      </c>
      <c r="F43" s="60">
        <v>1976</v>
      </c>
      <c r="G43" s="61">
        <v>2787</v>
      </c>
      <c r="H43" s="59">
        <f t="shared" si="2"/>
        <v>194.64</v>
      </c>
      <c r="I43" s="60">
        <f t="shared" si="0"/>
        <v>474.24</v>
      </c>
      <c r="J43" s="61">
        <f t="shared" si="0"/>
        <v>668.88</v>
      </c>
      <c r="K43" s="46">
        <v>153</v>
      </c>
      <c r="L43" s="78">
        <f t="shared" si="3"/>
        <v>0.006535947712418301</v>
      </c>
      <c r="M43" s="67">
        <f t="shared" si="4"/>
        <v>4.371764705882353</v>
      </c>
      <c r="N43" s="157">
        <f t="shared" si="5"/>
        <v>10935.939467016427</v>
      </c>
      <c r="O43" s="158">
        <f t="shared" si="6"/>
        <v>656156.3680209856</v>
      </c>
      <c r="P43" s="92">
        <f t="shared" si="7"/>
        <v>980.9777060474009</v>
      </c>
      <c r="Q43" s="38">
        <f t="shared" si="9"/>
        <v>82.0195460026232</v>
      </c>
      <c r="R43" s="39">
        <f t="shared" si="9"/>
        <v>92.41638986211065</v>
      </c>
      <c r="S43" s="39">
        <f t="shared" si="9"/>
        <v>59.650578910998696</v>
      </c>
      <c r="T43" s="39">
        <f t="shared" si="9"/>
        <v>164.0390920052464</v>
      </c>
      <c r="U43" s="127">
        <f t="shared" si="9"/>
        <v>61.32302504869025</v>
      </c>
    </row>
    <row r="44" spans="1:21" ht="13.5" thickBot="1">
      <c r="A44" s="48">
        <v>12</v>
      </c>
      <c r="B44" s="42">
        <f t="shared" si="1"/>
        <v>12.387</v>
      </c>
      <c r="C44" s="43">
        <v>13.4</v>
      </c>
      <c r="D44" s="52">
        <v>193</v>
      </c>
      <c r="E44" s="62">
        <v>821</v>
      </c>
      <c r="F44" s="63">
        <v>1968</v>
      </c>
      <c r="G44" s="64">
        <v>2789</v>
      </c>
      <c r="H44" s="62">
        <f t="shared" si="2"/>
        <v>197.04</v>
      </c>
      <c r="I44" s="63">
        <f t="shared" si="0"/>
        <v>472.32</v>
      </c>
      <c r="J44" s="64">
        <f t="shared" si="0"/>
        <v>669.36</v>
      </c>
      <c r="K44" s="47">
        <v>146</v>
      </c>
      <c r="L44" s="80">
        <f t="shared" si="3"/>
        <v>0.00684931506849315</v>
      </c>
      <c r="M44" s="68">
        <f t="shared" si="4"/>
        <v>4.584657534246576</v>
      </c>
      <c r="N44" s="159">
        <f t="shared" si="5"/>
        <v>11468.489418943256</v>
      </c>
      <c r="O44" s="160">
        <f t="shared" si="6"/>
        <v>688109.3651365953</v>
      </c>
      <c r="P44" s="93">
        <f t="shared" si="7"/>
        <v>1028.0108837346052</v>
      </c>
      <c r="Q44" s="42">
        <f aca="true" t="shared" si="10" ref="Q44:U46">$O44/Q$10</f>
        <v>86.01367064207442</v>
      </c>
      <c r="R44" s="43">
        <f t="shared" si="10"/>
        <v>96.91681199106976</v>
      </c>
      <c r="S44" s="43">
        <f t="shared" si="10"/>
        <v>62.55539683059958</v>
      </c>
      <c r="T44" s="43">
        <f t="shared" si="10"/>
        <v>172.02734128414883</v>
      </c>
      <c r="U44" s="128">
        <f t="shared" si="10"/>
        <v>64.30928646136405</v>
      </c>
    </row>
    <row r="45" spans="1:21" ht="12.75">
      <c r="A45" s="211">
        <v>13</v>
      </c>
      <c r="B45" s="32">
        <f t="shared" si="1"/>
        <v>13.087</v>
      </c>
      <c r="C45" s="33">
        <v>14.1</v>
      </c>
      <c r="D45" s="49">
        <v>196</v>
      </c>
      <c r="E45" s="53">
        <v>832</v>
      </c>
      <c r="F45" s="54">
        <v>1958</v>
      </c>
      <c r="G45" s="55">
        <v>2790</v>
      </c>
      <c r="H45" s="53">
        <f t="shared" si="2"/>
        <v>199.68</v>
      </c>
      <c r="I45" s="54">
        <f t="shared" si="0"/>
        <v>469.91999999999996</v>
      </c>
      <c r="J45" s="55">
        <f t="shared" si="0"/>
        <v>669.6</v>
      </c>
      <c r="K45" s="44">
        <v>139</v>
      </c>
      <c r="L45" s="79">
        <f t="shared" si="3"/>
        <v>0.007194244604316547</v>
      </c>
      <c r="M45" s="65">
        <f t="shared" si="4"/>
        <v>4.81726618705036</v>
      </c>
      <c r="N45" s="153">
        <f t="shared" si="5"/>
        <v>12050.35837066055</v>
      </c>
      <c r="O45" s="154">
        <f t="shared" si="6"/>
        <v>723021.502239633</v>
      </c>
      <c r="P45" s="90">
        <f t="shared" si="7"/>
        <v>1079.7812160090098</v>
      </c>
      <c r="Q45" s="32">
        <f t="shared" si="10"/>
        <v>90.37768777995413</v>
      </c>
      <c r="R45" s="33">
        <f t="shared" si="10"/>
        <v>101.83401439994832</v>
      </c>
      <c r="S45" s="33">
        <f t="shared" si="10"/>
        <v>65.72922747633028</v>
      </c>
      <c r="T45" s="33">
        <f t="shared" si="10"/>
        <v>180.75537555990826</v>
      </c>
      <c r="U45" s="125">
        <f t="shared" si="10"/>
        <v>67.57210301304981</v>
      </c>
    </row>
    <row r="46" spans="1:21" ht="13.5" thickBot="1">
      <c r="A46" s="182"/>
      <c r="B46" s="38">
        <f t="shared" si="1"/>
        <v>13.787</v>
      </c>
      <c r="C46" s="39">
        <v>14.8</v>
      </c>
      <c r="D46" s="51">
        <v>198</v>
      </c>
      <c r="E46" s="59">
        <v>842</v>
      </c>
      <c r="F46" s="60">
        <v>1950</v>
      </c>
      <c r="G46" s="61">
        <v>2792</v>
      </c>
      <c r="H46" s="59">
        <f t="shared" si="2"/>
        <v>202.07999999999998</v>
      </c>
      <c r="I46" s="60">
        <f t="shared" si="0"/>
        <v>468</v>
      </c>
      <c r="J46" s="61">
        <f t="shared" si="0"/>
        <v>670.0799999999999</v>
      </c>
      <c r="K46" s="46">
        <v>133</v>
      </c>
      <c r="L46" s="78">
        <f t="shared" si="3"/>
        <v>0.007518796992481203</v>
      </c>
      <c r="M46" s="67">
        <f t="shared" si="4"/>
        <v>5.038195488721804</v>
      </c>
      <c r="N46" s="157">
        <f t="shared" si="5"/>
        <v>12603.011505518934</v>
      </c>
      <c r="O46" s="158">
        <f t="shared" si="6"/>
        <v>756180.6903311361</v>
      </c>
      <c r="P46" s="92">
        <f t="shared" si="7"/>
        <v>1128.4931505658071</v>
      </c>
      <c r="Q46" s="38">
        <f t="shared" si="10"/>
        <v>94.52258629139202</v>
      </c>
      <c r="R46" s="39">
        <f t="shared" si="10"/>
        <v>106.50432258185016</v>
      </c>
      <c r="S46" s="39">
        <f t="shared" si="10"/>
        <v>68.74369912101237</v>
      </c>
      <c r="T46" s="39">
        <f t="shared" si="10"/>
        <v>189.04517258278403</v>
      </c>
      <c r="U46" s="127">
        <f t="shared" si="10"/>
        <v>70.67109255431178</v>
      </c>
    </row>
    <row r="48" spans="10:17" ht="12.75">
      <c r="J48" s="210" t="s">
        <v>85</v>
      </c>
      <c r="K48" s="210"/>
      <c r="L48" s="210"/>
      <c r="M48" s="210"/>
      <c r="N48" s="162"/>
      <c r="O48" s="162"/>
      <c r="P48" s="162"/>
      <c r="Q48" s="162"/>
    </row>
    <row r="49" spans="5:17" ht="12.75">
      <c r="E49" s="164" t="s">
        <v>92</v>
      </c>
      <c r="F49" s="165"/>
      <c r="G49" s="166"/>
      <c r="J49" s="162"/>
      <c r="K49" s="237" t="s">
        <v>89</v>
      </c>
      <c r="L49" s="238"/>
      <c r="M49" s="238"/>
      <c r="N49" s="8">
        <f>K5</f>
        <v>9</v>
      </c>
      <c r="O49" s="176" t="s">
        <v>88</v>
      </c>
      <c r="P49" s="176"/>
      <c r="Q49" s="163"/>
    </row>
    <row r="50" spans="5:17" ht="13.5" thickBot="1">
      <c r="E50" s="178" t="s">
        <v>93</v>
      </c>
      <c r="F50" s="179"/>
      <c r="G50" s="180"/>
      <c r="J50" s="162"/>
      <c r="K50" s="236" t="s">
        <v>86</v>
      </c>
      <c r="L50" s="236"/>
      <c r="M50" s="237"/>
      <c r="N50" s="8">
        <f>I3</f>
        <v>25.77593530855659</v>
      </c>
      <c r="O50" s="163" t="s">
        <v>87</v>
      </c>
      <c r="P50" s="169">
        <f>N50*864</f>
        <v>22270.408106592895</v>
      </c>
      <c r="Q50" s="170" t="s">
        <v>96</v>
      </c>
    </row>
    <row r="51" spans="5:17" ht="13.5" thickBot="1">
      <c r="E51" s="178" t="s">
        <v>94</v>
      </c>
      <c r="F51" s="179"/>
      <c r="G51" s="180"/>
      <c r="J51" s="162"/>
      <c r="K51" s="236" t="s">
        <v>90</v>
      </c>
      <c r="L51" s="236"/>
      <c r="M51" s="237"/>
      <c r="N51" s="8">
        <f>P51/864</f>
        <v>418.88639846138614</v>
      </c>
      <c r="O51" s="177" t="s">
        <v>87</v>
      </c>
      <c r="P51" s="174">
        <f>O28</f>
        <v>361917.8482706376</v>
      </c>
      <c r="Q51" s="175" t="s">
        <v>96</v>
      </c>
    </row>
    <row r="52" spans="5:17" ht="12.75">
      <c r="E52" s="167" t="s">
        <v>95</v>
      </c>
      <c r="F52" s="161"/>
      <c r="G52" s="168"/>
      <c r="J52" s="162"/>
      <c r="K52" s="236" t="s">
        <v>91</v>
      </c>
      <c r="L52" s="236"/>
      <c r="M52" s="237"/>
      <c r="N52" s="171">
        <f>N50/N51</f>
        <v>0.061534428912550794</v>
      </c>
      <c r="O52" s="163"/>
      <c r="P52" s="172">
        <f>P50/P51</f>
        <v>0.061534428912550794</v>
      </c>
      <c r="Q52" s="173"/>
    </row>
  </sheetData>
  <sheetProtection sheet="1" objects="1" scenarios="1"/>
  <mergeCells count="31">
    <mergeCell ref="K52:M52"/>
    <mergeCell ref="K49:M49"/>
    <mergeCell ref="J48:M48"/>
    <mergeCell ref="K50:M50"/>
    <mergeCell ref="K51:M51"/>
    <mergeCell ref="A11:A13"/>
    <mergeCell ref="Q8:U8"/>
    <mergeCell ref="B3:D3"/>
    <mergeCell ref="B4:D4"/>
    <mergeCell ref="F3:F6"/>
    <mergeCell ref="P9:P10"/>
    <mergeCell ref="B9:B10"/>
    <mergeCell ref="C9:C10"/>
    <mergeCell ref="D9:D10"/>
    <mergeCell ref="E9:G9"/>
    <mergeCell ref="A38:A40"/>
    <mergeCell ref="A42:A43"/>
    <mergeCell ref="A45:A46"/>
    <mergeCell ref="A32:A34"/>
    <mergeCell ref="A35:A37"/>
    <mergeCell ref="A26:A28"/>
    <mergeCell ref="A29:A31"/>
    <mergeCell ref="A14:A16"/>
    <mergeCell ref="A17:A19"/>
    <mergeCell ref="A20:A22"/>
    <mergeCell ref="A23:A25"/>
    <mergeCell ref="O9:O10"/>
    <mergeCell ref="K9:L9"/>
    <mergeCell ref="H9:J9"/>
    <mergeCell ref="M9:M10"/>
    <mergeCell ref="N9:N10"/>
  </mergeCells>
  <printOptions/>
  <pageMargins left="0.38" right="0.4724409448818898" top="1.062992125984252" bottom="0.984251968503937" header="0.6299212598425197" footer="0"/>
  <pageSetup horizontalDpi="600" verticalDpi="600" orientation="landscape" scale="65" r:id="rId1"/>
  <headerFooter alignWithMargins="0">
    <oddHeader>&amp;CTablas de vapor
con kcal/h, l de agua y cantidad de combustible
para l de vapor necesitados
</oddHeader>
  </headerFooter>
  <ignoredErrors>
    <ignoredError sqref="P5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2" sqref="A2:B2"/>
    </sheetView>
  </sheetViews>
  <sheetFormatPr defaultColWidth="11.421875" defaultRowHeight="12.75"/>
  <cols>
    <col min="1" max="1" width="12.8515625" style="0" customWidth="1"/>
    <col min="3" max="3" width="13.28125" style="0" bestFit="1" customWidth="1"/>
  </cols>
  <sheetData>
    <row r="1" ht="13.5" thickBot="1"/>
    <row r="2" spans="1:2" ht="12.75">
      <c r="A2" s="196" t="s">
        <v>44</v>
      </c>
      <c r="B2" s="197"/>
    </row>
    <row r="3" spans="1:2" ht="13.5" thickBot="1">
      <c r="A3" s="198" t="str">
        <f>'Botes a vapor'!G5</f>
        <v>Pesquero Euskalduna</v>
      </c>
      <c r="B3" s="199"/>
    </row>
    <row r="8" ht="13.5" thickBot="1"/>
    <row r="9" spans="2:3" ht="13.5" thickBot="1">
      <c r="B9" s="239" t="s">
        <v>103</v>
      </c>
      <c r="C9" s="240"/>
    </row>
    <row r="10" ht="13.5" thickBot="1"/>
    <row r="11" spans="1:3" ht="12.75">
      <c r="A11" s="183" t="s">
        <v>28</v>
      </c>
      <c r="B11" s="184">
        <v>200</v>
      </c>
      <c r="C11" s="35"/>
    </row>
    <row r="12" spans="1:3" ht="12.75">
      <c r="A12" s="183" t="s">
        <v>97</v>
      </c>
      <c r="B12" s="185">
        <f>'Botes a vapor'!G14</f>
        <v>9.420770301585609</v>
      </c>
      <c r="C12" s="186"/>
    </row>
    <row r="13" spans="1:3" ht="12.75">
      <c r="A13" s="183" t="s">
        <v>98</v>
      </c>
      <c r="B13" s="187">
        <f>B12*1.15</f>
        <v>10.83388584682345</v>
      </c>
      <c r="C13" s="188">
        <f>B13*1.6</f>
        <v>17.33421735491752</v>
      </c>
    </row>
    <row r="14" spans="1:3" ht="12.75">
      <c r="A14" s="183" t="s">
        <v>99</v>
      </c>
      <c r="B14" s="189">
        <f>B13*5280/60</f>
        <v>953.3819545204635</v>
      </c>
      <c r="C14" s="190">
        <f>B14*12*25.4/1000</f>
        <v>290.5908197378373</v>
      </c>
    </row>
    <row r="15" spans="1:3" ht="12.75">
      <c r="A15" s="183" t="s">
        <v>100</v>
      </c>
      <c r="B15" s="191">
        <f>B14*12/B11</f>
        <v>57.20291727122782</v>
      </c>
      <c r="C15" s="58"/>
    </row>
    <row r="16" spans="1:3" ht="12.75">
      <c r="A16" s="183" t="s">
        <v>101</v>
      </c>
      <c r="B16" s="191">
        <f>B15*1.25</f>
        <v>71.50364658903477</v>
      </c>
      <c r="C16" s="192">
        <f>B16*25.4</f>
        <v>1816.1926233614831</v>
      </c>
    </row>
    <row r="17" spans="1:3" ht="13.5" thickBot="1">
      <c r="A17" s="183" t="s">
        <v>102</v>
      </c>
      <c r="B17" s="241">
        <v>15</v>
      </c>
      <c r="C17" s="193">
        <f>B17*25.4</f>
        <v>381</v>
      </c>
    </row>
  </sheetData>
  <sheetProtection sheet="1" objects="1" scenarios="1"/>
  <mergeCells count="3">
    <mergeCell ref="B9:C9"/>
    <mergeCell ref="A2:B2"/>
    <mergeCell ref="A3:B3"/>
  </mergeCells>
  <printOptions/>
  <pageMargins left="0.18" right="0.17" top="1" bottom="1" header="0" footer="0"/>
  <pageSetup horizontalDpi="600" verticalDpi="600" orientation="portrait" paperSize="9" r:id="rId2"/>
  <ignoredErrors>
    <ignoredError sqref="A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</dc:creator>
  <cp:keywords/>
  <dc:description/>
  <cp:lastModifiedBy>juan</cp:lastModifiedBy>
  <cp:lastPrinted>2005-07-28T13:02:19Z</cp:lastPrinted>
  <dcterms:created xsi:type="dcterms:W3CDTF">2002-08-19T17:55:10Z</dcterms:created>
  <dcterms:modified xsi:type="dcterms:W3CDTF">2005-07-29T12:04:48Z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